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ANGLE\Downloads\"/>
    </mc:Choice>
  </mc:AlternateContent>
  <xr:revisionPtr revIDLastSave="0" documentId="8_{5FCA0ADB-60AC-40AB-A7A5-BE19B70BC3C9}" xr6:coauthVersionLast="47" xr6:coauthVersionMax="47" xr10:uidLastSave="{00000000-0000-0000-0000-000000000000}"/>
  <bookViews>
    <workbookView xWindow="-120" yWindow="-120" windowWidth="19440" windowHeight="15000" xr2:uid="{C14D644A-F952-48F3-8408-364C60C845AB}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5" i="1" l="1"/>
  <c r="D94" i="1"/>
  <c r="D93" i="1"/>
  <c r="D92" i="1"/>
  <c r="D91" i="1"/>
  <c r="H90" i="1"/>
  <c r="D90" i="1" s="1"/>
  <c r="H89" i="1"/>
  <c r="H84" i="1" s="1"/>
  <c r="D89" i="1"/>
  <c r="D88" i="1"/>
  <c r="D87" i="1"/>
  <c r="D86" i="1"/>
  <c r="D85" i="1"/>
  <c r="D84" i="1" s="1"/>
  <c r="I84" i="1"/>
  <c r="G84" i="1"/>
  <c r="F84" i="1"/>
  <c r="E84" i="1"/>
  <c r="C84" i="1"/>
  <c r="H83" i="1"/>
  <c r="D83" i="1" s="1"/>
  <c r="D82" i="1"/>
  <c r="D81" i="1"/>
  <c r="D80" i="1"/>
  <c r="D79" i="1"/>
  <c r="D78" i="1"/>
  <c r="D77" i="1"/>
  <c r="D76" i="1"/>
  <c r="D75" i="1"/>
  <c r="C74" i="1"/>
  <c r="C66" i="1" s="1"/>
  <c r="H73" i="1"/>
  <c r="G73" i="1"/>
  <c r="F73" i="1"/>
  <c r="E73" i="1"/>
  <c r="E74" i="1" s="1"/>
  <c r="F74" i="1" s="1"/>
  <c r="G72" i="1"/>
  <c r="F72" i="1"/>
  <c r="D72" i="1" s="1"/>
  <c r="E72" i="1"/>
  <c r="G71" i="1"/>
  <c r="F71" i="1"/>
  <c r="E71" i="1"/>
  <c r="H70" i="1"/>
  <c r="G70" i="1"/>
  <c r="F70" i="1"/>
  <c r="E70" i="1"/>
  <c r="D70" i="1" s="1"/>
  <c r="D69" i="1"/>
  <c r="D68" i="1"/>
  <c r="D67" i="1"/>
  <c r="I66" i="1"/>
  <c r="D65" i="1"/>
  <c r="H64" i="1"/>
  <c r="G64" i="1"/>
  <c r="F64" i="1"/>
  <c r="E64" i="1"/>
  <c r="D64" i="1"/>
  <c r="D63" i="1"/>
  <c r="D62" i="1"/>
  <c r="D61" i="1"/>
  <c r="F60" i="1"/>
  <c r="E60" i="1"/>
  <c r="D60" i="1" s="1"/>
  <c r="I59" i="1"/>
  <c r="H59" i="1"/>
  <c r="G59" i="1"/>
  <c r="G47" i="1" s="1"/>
  <c r="F59" i="1"/>
  <c r="E59" i="1"/>
  <c r="D58" i="1"/>
  <c r="H57" i="1"/>
  <c r="E57" i="1"/>
  <c r="D57" i="1" s="1"/>
  <c r="H56" i="1"/>
  <c r="D56" i="1" s="1"/>
  <c r="D55" i="1"/>
  <c r="H54" i="1"/>
  <c r="D54" i="1"/>
  <c r="F53" i="1"/>
  <c r="E53" i="1"/>
  <c r="D53" i="1" s="1"/>
  <c r="H52" i="1"/>
  <c r="D52" i="1" s="1"/>
  <c r="D51" i="1"/>
  <c r="D50" i="1"/>
  <c r="H49" i="1"/>
  <c r="H47" i="1" s="1"/>
  <c r="G49" i="1"/>
  <c r="F49" i="1"/>
  <c r="F47" i="1" s="1"/>
  <c r="E49" i="1"/>
  <c r="D49" i="1"/>
  <c r="F48" i="1"/>
  <c r="E48" i="1"/>
  <c r="D48" i="1"/>
  <c r="I47" i="1"/>
  <c r="I46" i="1" s="1"/>
  <c r="C47" i="1"/>
  <c r="C46" i="1" s="1"/>
  <c r="D44" i="1"/>
  <c r="D43" i="1"/>
  <c r="D42" i="1"/>
  <c r="D41" i="1"/>
  <c r="D40" i="1"/>
  <c r="D39" i="1"/>
  <c r="D38" i="1"/>
  <c r="H37" i="1"/>
  <c r="F37" i="1"/>
  <c r="E37" i="1"/>
  <c r="D37" i="1"/>
  <c r="D36" i="1"/>
  <c r="D35" i="1"/>
  <c r="D34" i="1"/>
  <c r="D33" i="1"/>
  <c r="D32" i="1"/>
  <c r="H31" i="1"/>
  <c r="F31" i="1"/>
  <c r="F22" i="1" s="1"/>
  <c r="E31" i="1"/>
  <c r="D31" i="1" s="1"/>
  <c r="D30" i="1"/>
  <c r="D29" i="1"/>
  <c r="D28" i="1"/>
  <c r="D27" i="1"/>
  <c r="D26" i="1"/>
  <c r="D25" i="1"/>
  <c r="H24" i="1"/>
  <c r="H22" i="1" s="1"/>
  <c r="D23" i="1"/>
  <c r="I22" i="1"/>
  <c r="G22" i="1"/>
  <c r="C22" i="1"/>
  <c r="H21" i="1"/>
  <c r="F21" i="1"/>
  <c r="E21" i="1"/>
  <c r="D21" i="1"/>
  <c r="H20" i="1"/>
  <c r="F20" i="1"/>
  <c r="E20" i="1"/>
  <c r="D20" i="1"/>
  <c r="H19" i="1"/>
  <c r="F19" i="1"/>
  <c r="E19" i="1"/>
  <c r="D19" i="1"/>
  <c r="H18" i="1"/>
  <c r="F18" i="1"/>
  <c r="E18" i="1"/>
  <c r="D18" i="1"/>
  <c r="I17" i="1"/>
  <c r="H17" i="1"/>
  <c r="F17" i="1"/>
  <c r="E17" i="1"/>
  <c r="D17" i="1" s="1"/>
  <c r="H16" i="1"/>
  <c r="F16" i="1"/>
  <c r="E16" i="1"/>
  <c r="D16" i="1" s="1"/>
  <c r="D15" i="1"/>
  <c r="D13" i="1"/>
  <c r="D12" i="1"/>
  <c r="G11" i="1"/>
  <c r="F11" i="1"/>
  <c r="E11" i="1"/>
  <c r="E5" i="1" s="1"/>
  <c r="D11" i="1"/>
  <c r="H10" i="1"/>
  <c r="F10" i="1"/>
  <c r="F5" i="1" s="1"/>
  <c r="E10" i="1"/>
  <c r="D10" i="1"/>
  <c r="E9" i="1"/>
  <c r="D9" i="1"/>
  <c r="D7" i="1"/>
  <c r="H6" i="1"/>
  <c r="D6" i="1" s="1"/>
  <c r="I5" i="1"/>
  <c r="I96" i="1" s="1"/>
  <c r="G5" i="1"/>
  <c r="C5" i="1"/>
  <c r="G66" i="1" l="1"/>
  <c r="G46" i="1" s="1"/>
  <c r="G96" i="1" s="1"/>
  <c r="D5" i="1"/>
  <c r="F66" i="1"/>
  <c r="F46" i="1" s="1"/>
  <c r="F96" i="1" s="1"/>
  <c r="C96" i="1"/>
  <c r="D66" i="1"/>
  <c r="D22" i="1"/>
  <c r="D59" i="1"/>
  <c r="D47" i="1" s="1"/>
  <c r="D46" i="1" s="1"/>
  <c r="G74" i="1"/>
  <c r="H74" i="1" s="1"/>
  <c r="H66" i="1" s="1"/>
  <c r="H46" i="1" s="1"/>
  <c r="E22" i="1"/>
  <c r="D71" i="1"/>
  <c r="H5" i="1"/>
  <c r="E66" i="1"/>
  <c r="E47" i="1"/>
  <c r="E46" i="1" l="1"/>
  <c r="E96" i="1" s="1"/>
  <c r="H96" i="1"/>
  <c r="D9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K49" authorId="0" shapeId="0" xr:uid="{87DAC4A6-158B-43B7-AC76-953B805AAD4F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<sst xmlns="http://schemas.openxmlformats.org/spreadsheetml/2006/main" count="105" uniqueCount="105">
  <si>
    <t>VPA - TỔNG HỢP SẢN LƯỢNG THÔNG QUA CẢNG BIỂN NĂM 2023</t>
  </si>
  <si>
    <t>STT</t>
  </si>
  <si>
    <t>KHU VỰC / Cảng</t>
  </si>
  <si>
    <t>Tàu</t>
  </si>
  <si>
    <t>HÀNG HOÁ THÔNG QUA (MT) 2023</t>
  </si>
  <si>
    <t>Container</t>
  </si>
  <si>
    <t>(Chuyến)</t>
  </si>
  <si>
    <t>TTQ</t>
  </si>
  <si>
    <t>Nhập</t>
  </si>
  <si>
    <t>Xuất</t>
  </si>
  <si>
    <t>Trung chuyển</t>
  </si>
  <si>
    <t>Nội  Địa</t>
  </si>
  <si>
    <t>TEUs</t>
  </si>
  <si>
    <t>MIỀN BẮC</t>
  </si>
  <si>
    <t>Quảng Ninh</t>
  </si>
  <si>
    <t>CICT</t>
  </si>
  <si>
    <t>Cẩm Phả</t>
  </si>
  <si>
    <t>Cảng dầu B12</t>
  </si>
  <si>
    <t>Hải Phòng</t>
  </si>
  <si>
    <t>HICT</t>
  </si>
  <si>
    <t>Đoạn Xá</t>
  </si>
  <si>
    <t>Vật cách</t>
  </si>
  <si>
    <t>Cửa Cấm Hải Phòng</t>
  </si>
  <si>
    <t>Transvina</t>
  </si>
  <si>
    <t>Đình Vũ</t>
  </si>
  <si>
    <t>VIMC Đình Vũ</t>
  </si>
  <si>
    <t>Nam Hải Đình Vũ</t>
  </si>
  <si>
    <t>Nam Đình Vũ</t>
  </si>
  <si>
    <t>PTSC Đình Vũ</t>
  </si>
  <si>
    <t>Tân Cảng 128 - Hải Phòng</t>
  </si>
  <si>
    <t>MIỀN TRUNG</t>
  </si>
  <si>
    <t>Thanh Hoá</t>
  </si>
  <si>
    <t>Nghệ Tĩnh</t>
  </si>
  <si>
    <t>Cửa Lò</t>
  </si>
  <si>
    <t>Quốc Tế Lào-Việt</t>
  </si>
  <si>
    <t>Quảng Bình</t>
  </si>
  <si>
    <t>Cửa Việt</t>
  </si>
  <si>
    <t>Thuận An</t>
  </si>
  <si>
    <t>Chân Mây</t>
  </si>
  <si>
    <t>Đà Nẵng</t>
  </si>
  <si>
    <t xml:space="preserve">Hải Sơn </t>
  </si>
  <si>
    <t>Kỳ Hà - Chu Lai</t>
  </si>
  <si>
    <t>PTSC Quảng Ngãi</t>
  </si>
  <si>
    <t>Gemadept Dung Quất</t>
  </si>
  <si>
    <t>Hào Hưng QuảngNgãi</t>
  </si>
  <si>
    <t>Quy Nhơn</t>
  </si>
  <si>
    <t>Thị Nại</t>
  </si>
  <si>
    <t>Vũng Rô</t>
  </si>
  <si>
    <t>Nha Trang</t>
  </si>
  <si>
    <t>Hòn Khói</t>
  </si>
  <si>
    <t>Cam Ranh</t>
  </si>
  <si>
    <t xml:space="preserve">Nam Vân Phong </t>
  </si>
  <si>
    <t>Vĩnh Tân</t>
  </si>
  <si>
    <t xml:space="preserve">Bến Du Thuyền QT </t>
  </si>
  <si>
    <t>MIỀN NAM</t>
  </si>
  <si>
    <t>Tp HCM + Đồng Nai</t>
  </si>
  <si>
    <t>Đồng Nai</t>
  </si>
  <si>
    <t>ITC- Phú Hữu</t>
  </si>
  <si>
    <t>Long Thành</t>
  </si>
  <si>
    <t>Long Thành - Nhà máy Super Phốt phát Long Thành</t>
  </si>
  <si>
    <t>Bình Dương</t>
  </si>
  <si>
    <t>Tân Cảng Cát Lái</t>
  </si>
  <si>
    <t>Sài Gòn</t>
  </si>
  <si>
    <t>Tân Thuận Đông</t>
  </si>
  <si>
    <t>Bến Nghé</t>
  </si>
  <si>
    <t>VICT</t>
  </si>
  <si>
    <t>Rau Quả</t>
  </si>
  <si>
    <t>Bông Sen (Lotus)</t>
  </si>
  <si>
    <t>Phước Long ICD (phao)</t>
  </si>
  <si>
    <t>Xăng dầu Nhà Bè</t>
  </si>
  <si>
    <t>SPCT</t>
  </si>
  <si>
    <t>Sài Gòn Hiệp Phước</t>
  </si>
  <si>
    <t>Tân Cảng Hiệp Phước</t>
  </si>
  <si>
    <t>Cảng Quốc Tế Long An</t>
  </si>
  <si>
    <t>Bà Rịa - Vũng Tàu</t>
  </si>
  <si>
    <t xml:space="preserve">SITV </t>
  </si>
  <si>
    <t>Bà Ria Serece (Phú Mỹ)</t>
  </si>
  <si>
    <t>SP-PSA</t>
  </si>
  <si>
    <t>TCIT+TCCT</t>
  </si>
  <si>
    <t>CMIT</t>
  </si>
  <si>
    <t>TCTT</t>
  </si>
  <si>
    <t>SSIT</t>
  </si>
  <si>
    <t>Gemalink</t>
  </si>
  <si>
    <t>Interflour Cái Mép</t>
  </si>
  <si>
    <t xml:space="preserve">Bến Đầm </t>
  </si>
  <si>
    <t>Thương Cảng Vũng tàu</t>
  </si>
  <si>
    <t>PVC-MS</t>
  </si>
  <si>
    <t>PV Shipyard</t>
  </si>
  <si>
    <t>Đông Xuyên</t>
  </si>
  <si>
    <t>Xăng dầu Petec Cái Mép</t>
  </si>
  <si>
    <t>Phú Đông</t>
  </si>
  <si>
    <t>Cảng Quốc Tế Long Sơn</t>
  </si>
  <si>
    <t>Đồng bằng Sông Cửu Long</t>
  </si>
  <si>
    <t>Mỹ Tho</t>
  </si>
  <si>
    <t>Đồng Tháp (TC Sa Đéc)</t>
  </si>
  <si>
    <t>Bảo Mai</t>
  </si>
  <si>
    <t>Bình Minh</t>
  </si>
  <si>
    <t>Vĩnh Long</t>
  </si>
  <si>
    <t>Cần Thơ</t>
  </si>
  <si>
    <t>Trà Nóc Cần Thơ</t>
  </si>
  <si>
    <t>CN Tàu Thủy VT Cần Thơ</t>
  </si>
  <si>
    <t xml:space="preserve">An Giang </t>
  </si>
  <si>
    <t>VIMC Hậu Giang</t>
  </si>
  <si>
    <t>Năm Căn</t>
  </si>
  <si>
    <t>TỔNG CỘNG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</si>
</sst>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_(* #,##0.000_);_(* \(#,##0.000\);_(* &quot;-&quot;??_);_(@_)"/>
  </numFmts>
  <fonts count="2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  <font>
      <b/>
      <sz val="11"/>
      <name val="Times New Roman"/>
      <family val="1"/>
    </font>
    <font>
      <b/>
      <i/>
      <sz val="11"/>
      <name val="Times New Roman"/>
      <family val="1"/>
    </font>
    <font>
      <i/>
      <sz val="11"/>
      <name val="Times New Roman"/>
      <family val="1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Times New Roman"/>
      <family val="1"/>
    </font>
    <font>
      <b/>
      <sz val="11"/>
      <color rgb="FFFF0000"/>
      <name val="Times New Roman"/>
      <family val="1"/>
    </font>
    <font>
      <i/>
      <sz val="1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b/>
      <sz val="12"/>
      <name val="Calibri"/>
      <family val="2"/>
    </font>
    <font>
      <sz val="12"/>
      <color rgb="FFFF0000"/>
      <name val="Times New Roman"/>
      <family val="1"/>
    </font>
    <font>
      <sz val="1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165" fontId="3" fillId="0" borderId="0" xfId="1" applyNumberFormat="1" applyFont="1"/>
    <xf numFmtId="0" fontId="4" fillId="0" borderId="0" xfId="0" applyFont="1"/>
    <xf numFmtId="0" fontId="5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/>
    </xf>
    <xf numFmtId="3" fontId="5" fillId="4" borderId="1" xfId="0" applyNumberFormat="1" applyFont="1" applyFill="1" applyBorder="1" applyAlignment="1">
      <alignment horizontal="right" vertical="center"/>
    </xf>
    <xf numFmtId="3" fontId="6" fillId="4" borderId="1" xfId="0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3" borderId="1" xfId="0" applyFont="1" applyFill="1" applyBorder="1" applyAlignment="1">
      <alignment horizontal="right" vertical="center"/>
    </xf>
    <xf numFmtId="3" fontId="3" fillId="3" borderId="1" xfId="0" applyNumberFormat="1" applyFont="1" applyFill="1" applyBorder="1" applyAlignment="1">
      <alignment horizontal="right" vertical="center"/>
    </xf>
    <xf numFmtId="3" fontId="7" fillId="3" borderId="1" xfId="0" applyNumberFormat="1" applyFont="1" applyFill="1" applyBorder="1" applyAlignment="1">
      <alignment horizontal="right" vertical="center"/>
    </xf>
    <xf numFmtId="3" fontId="5" fillId="3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165" fontId="3" fillId="3" borderId="1" xfId="1" applyNumberFormat="1" applyFont="1" applyFill="1" applyBorder="1" applyAlignment="1">
      <alignment horizontal="right" vertical="center"/>
    </xf>
    <xf numFmtId="165" fontId="7" fillId="3" borderId="1" xfId="1" applyNumberFormat="1" applyFont="1" applyFill="1" applyBorder="1" applyAlignment="1">
      <alignment horizontal="right" vertical="center"/>
    </xf>
    <xf numFmtId="165" fontId="3" fillId="0" borderId="0" xfId="1" applyNumberFormat="1" applyFont="1" applyFill="1"/>
    <xf numFmtId="0" fontId="7" fillId="3" borderId="1" xfId="0" applyFont="1" applyFill="1" applyBorder="1" applyAlignment="1">
      <alignment horizontal="right" vertical="center"/>
    </xf>
    <xf numFmtId="3" fontId="11" fillId="3" borderId="1" xfId="0" applyNumberFormat="1" applyFont="1" applyFill="1" applyBorder="1" applyAlignment="1">
      <alignment horizontal="right" vertical="center"/>
    </xf>
    <xf numFmtId="3" fontId="4" fillId="0" borderId="0" xfId="0" applyNumberFormat="1" applyFont="1"/>
    <xf numFmtId="165" fontId="12" fillId="0" borderId="0" xfId="1" applyNumberFormat="1" applyFont="1"/>
    <xf numFmtId="165" fontId="11" fillId="0" borderId="0" xfId="1" applyNumberFormat="1" applyFont="1"/>
    <xf numFmtId="166" fontId="3" fillId="0" borderId="0" xfId="1" applyNumberFormat="1" applyFont="1"/>
    <xf numFmtId="0" fontId="3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/>
    </xf>
    <xf numFmtId="3" fontId="5" fillId="5" borderId="1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/>
    </xf>
    <xf numFmtId="3" fontId="8" fillId="0" borderId="0" xfId="0" quotePrefix="1" applyNumberFormat="1" applyFont="1"/>
    <xf numFmtId="165" fontId="4" fillId="0" borderId="0" xfId="1" applyNumberFormat="1" applyFont="1"/>
    <xf numFmtId="0" fontId="3" fillId="0" borderId="1" xfId="0" applyFont="1" applyBorder="1" applyAlignment="1">
      <alignment vertical="center" wrapText="1"/>
    </xf>
    <xf numFmtId="165" fontId="3" fillId="0" borderId="0" xfId="1" applyNumberFormat="1" applyFont="1" applyAlignment="1">
      <alignment horizontal="left" vertical="center"/>
    </xf>
    <xf numFmtId="3" fontId="7" fillId="3" borderId="3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right" vertical="center"/>
    </xf>
    <xf numFmtId="165" fontId="4" fillId="0" borderId="0" xfId="0" applyNumberFormat="1" applyFont="1"/>
    <xf numFmtId="165" fontId="13" fillId="3" borderId="0" xfId="1" applyNumberFormat="1" applyFont="1" applyFill="1"/>
    <xf numFmtId="0" fontId="14" fillId="5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vertical="center"/>
    </xf>
    <xf numFmtId="3" fontId="15" fillId="5" borderId="1" xfId="0" applyNumberFormat="1" applyFont="1" applyFill="1" applyBorder="1" applyAlignment="1">
      <alignment horizontal="right" vertical="center"/>
    </xf>
    <xf numFmtId="3" fontId="16" fillId="5" borderId="1" xfId="0" applyNumberFormat="1" applyFont="1" applyFill="1" applyBorder="1" applyAlignment="1">
      <alignment horizontal="right" vertical="center"/>
    </xf>
    <xf numFmtId="165" fontId="14" fillId="0" borderId="0" xfId="1" applyNumberFormat="1" applyFont="1"/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4" fillId="3" borderId="1" xfId="0" applyFont="1" applyFill="1" applyBorder="1" applyAlignment="1">
      <alignment horizontal="right" vertical="center"/>
    </xf>
    <xf numFmtId="3" fontId="14" fillId="3" borderId="1" xfId="0" applyNumberFormat="1" applyFont="1" applyFill="1" applyBorder="1" applyAlignment="1">
      <alignment horizontal="right" vertical="center"/>
    </xf>
    <xf numFmtId="0" fontId="17" fillId="3" borderId="1" xfId="0" applyFont="1" applyFill="1" applyBorder="1" applyAlignment="1">
      <alignment horizontal="right" vertical="center"/>
    </xf>
    <xf numFmtId="3" fontId="17" fillId="3" borderId="1" xfId="0" applyNumberFormat="1" applyFont="1" applyFill="1" applyBorder="1" applyAlignment="1">
      <alignment horizontal="right" vertical="center"/>
    </xf>
    <xf numFmtId="165" fontId="14" fillId="3" borderId="1" xfId="1" applyNumberFormat="1" applyFont="1" applyFill="1" applyBorder="1" applyAlignment="1">
      <alignment horizontal="right" vertical="center"/>
    </xf>
    <xf numFmtId="0" fontId="18" fillId="6" borderId="1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vertical="center"/>
    </xf>
    <xf numFmtId="3" fontId="15" fillId="6" borderId="1" xfId="0" applyNumberFormat="1" applyFont="1" applyFill="1" applyBorder="1" applyAlignment="1">
      <alignment horizontal="right" vertical="center"/>
    </xf>
    <xf numFmtId="3" fontId="16" fillId="6" borderId="1" xfId="0" applyNumberFormat="1" applyFont="1" applyFill="1" applyBorder="1" applyAlignment="1">
      <alignment horizontal="right" vertical="center"/>
    </xf>
    <xf numFmtId="165" fontId="19" fillId="0" borderId="0" xfId="1" applyNumberFormat="1" applyFont="1"/>
    <xf numFmtId="0" fontId="20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3" fontId="3" fillId="3" borderId="2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/>
    </xf>
    <xf numFmtId="1" fontId="3" fillId="3" borderId="1" xfId="0" applyNumberFormat="1" applyFont="1" applyFill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25548-9704-44B4-9C70-844B2C95E802}">
  <dimension ref="A1:M99"/>
  <sheetViews>
    <sheetView tabSelected="1" workbookViewId="0">
      <selection activeCell="K89" sqref="K89"/>
    </sheetView>
  </sheetViews>
  <sheetFormatPr defaultRowHeight="15.75" x14ac:dyDescent="0.25"/>
  <cols>
    <col min="1" max="1" width="4.125" bestFit="1" customWidth="1"/>
    <col min="2" max="2" width="23.625" bestFit="1" customWidth="1"/>
    <col min="3" max="3" width="8.125" bestFit="1" customWidth="1"/>
    <col min="4" max="6" width="10.875" bestFit="1" customWidth="1"/>
    <col min="7" max="7" width="11.625" bestFit="1" customWidth="1"/>
    <col min="8" max="9" width="9.875" bestFit="1" customWidth="1"/>
    <col min="10" max="10" width="14.625" bestFit="1" customWidth="1"/>
  </cols>
  <sheetData>
    <row r="1" spans="1:12" s="2" customFormat="1" ht="18.75" x14ac:dyDescent="0.2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1"/>
    </row>
    <row r="2" spans="1:12" s="2" customFormat="1" ht="15" x14ac:dyDescent="0.25">
      <c r="J2" s="1"/>
    </row>
    <row r="3" spans="1:12" s="2" customFormat="1" ht="15" x14ac:dyDescent="0.25">
      <c r="A3" s="58" t="s">
        <v>1</v>
      </c>
      <c r="B3" s="59" t="s">
        <v>2</v>
      </c>
      <c r="C3" s="3" t="s">
        <v>3</v>
      </c>
      <c r="D3" s="60" t="s">
        <v>4</v>
      </c>
      <c r="E3" s="60"/>
      <c r="F3" s="60"/>
      <c r="G3" s="60"/>
      <c r="H3" s="60"/>
      <c r="I3" s="3" t="s">
        <v>5</v>
      </c>
      <c r="J3" s="1"/>
    </row>
    <row r="4" spans="1:12" s="2" customFormat="1" ht="15" x14ac:dyDescent="0.25">
      <c r="A4" s="58"/>
      <c r="B4" s="59"/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1"/>
    </row>
    <row r="5" spans="1:12" s="2" customFormat="1" ht="15" x14ac:dyDescent="0.25">
      <c r="A5" s="4"/>
      <c r="B5" s="5" t="s">
        <v>13</v>
      </c>
      <c r="C5" s="6">
        <f>SUM(C6:C21)</f>
        <v>7842</v>
      </c>
      <c r="D5" s="6">
        <f t="shared" ref="D5:I5" si="0">SUM(D6:D21)</f>
        <v>87310059</v>
      </c>
      <c r="E5" s="6">
        <f t="shared" si="0"/>
        <v>36843663</v>
      </c>
      <c r="F5" s="6">
        <f t="shared" si="0"/>
        <v>29187549</v>
      </c>
      <c r="G5" s="7">
        <f t="shared" si="0"/>
        <v>89460</v>
      </c>
      <c r="H5" s="6">
        <f>SUM(H6:H21)</f>
        <v>21189387</v>
      </c>
      <c r="I5" s="6">
        <f t="shared" si="0"/>
        <v>4517308</v>
      </c>
      <c r="J5" s="1"/>
    </row>
    <row r="6" spans="1:12" s="2" customFormat="1" ht="15" x14ac:dyDescent="0.25">
      <c r="A6" s="8">
        <v>1</v>
      </c>
      <c r="B6" s="9" t="s">
        <v>14</v>
      </c>
      <c r="C6" s="10">
        <v>432</v>
      </c>
      <c r="D6" s="11">
        <f>SUM(E6:H6)</f>
        <v>8079610</v>
      </c>
      <c r="E6" s="11">
        <v>4155559</v>
      </c>
      <c r="F6" s="11">
        <v>3205457</v>
      </c>
      <c r="G6" s="12"/>
      <c r="H6" s="11">
        <f>718354+16*15</f>
        <v>718594</v>
      </c>
      <c r="I6" s="13">
        <v>16</v>
      </c>
      <c r="J6" s="1"/>
      <c r="K6" s="14"/>
    </row>
    <row r="7" spans="1:12" s="2" customFormat="1" ht="15" x14ac:dyDescent="0.25">
      <c r="A7" s="8">
        <v>2</v>
      </c>
      <c r="B7" s="9" t="s">
        <v>15</v>
      </c>
      <c r="C7" s="10"/>
      <c r="D7" s="11">
        <f t="shared" ref="D7:D21" si="1">SUM(E7:H7)</f>
        <v>0</v>
      </c>
      <c r="E7" s="11"/>
      <c r="F7" s="11"/>
      <c r="G7" s="12"/>
      <c r="H7" s="10"/>
      <c r="I7" s="11"/>
      <c r="J7" s="1"/>
      <c r="K7" s="15"/>
    </row>
    <row r="8" spans="1:12" s="2" customFormat="1" ht="15" x14ac:dyDescent="0.25">
      <c r="A8" s="8">
        <v>3</v>
      </c>
      <c r="B8" s="9" t="s">
        <v>16</v>
      </c>
      <c r="C8" s="10">
        <v>2260</v>
      </c>
      <c r="D8" s="11">
        <v>7971839</v>
      </c>
      <c r="E8" s="10"/>
      <c r="F8" s="11">
        <v>478447</v>
      </c>
      <c r="G8" s="12"/>
      <c r="H8" s="11">
        <v>7493392</v>
      </c>
      <c r="I8" s="10"/>
      <c r="J8" s="1"/>
      <c r="K8" s="15"/>
    </row>
    <row r="9" spans="1:12" s="2" customFormat="1" ht="15" x14ac:dyDescent="0.25">
      <c r="A9" s="8">
        <v>4</v>
      </c>
      <c r="B9" s="9" t="s">
        <v>17</v>
      </c>
      <c r="C9" s="11">
        <v>1050</v>
      </c>
      <c r="D9" s="11">
        <f t="shared" ref="D9" si="2">SUM(E9:H9)</f>
        <v>4333600</v>
      </c>
      <c r="E9" s="11">
        <f>3956300</f>
        <v>3956300</v>
      </c>
      <c r="F9" s="11">
        <v>377300</v>
      </c>
      <c r="G9" s="12"/>
      <c r="H9" s="10"/>
      <c r="I9" s="10"/>
      <c r="J9" s="1"/>
      <c r="K9" s="14"/>
    </row>
    <row r="10" spans="1:12" s="2" customFormat="1" ht="15" x14ac:dyDescent="0.25">
      <c r="A10" s="8">
        <v>5</v>
      </c>
      <c r="B10" s="9" t="s">
        <v>18</v>
      </c>
      <c r="C10" s="11">
        <v>1108</v>
      </c>
      <c r="D10" s="11">
        <f t="shared" si="1"/>
        <v>19008330</v>
      </c>
      <c r="E10" s="11">
        <f>447033*15</f>
        <v>6705495</v>
      </c>
      <c r="F10" s="11">
        <f>469423*15</f>
        <v>7041345</v>
      </c>
      <c r="G10" s="12"/>
      <c r="H10" s="11">
        <f>350766*15</f>
        <v>5261490</v>
      </c>
      <c r="I10" s="11">
        <v>1267222</v>
      </c>
      <c r="J10" s="1"/>
      <c r="K10" s="16"/>
      <c r="L10" s="16"/>
    </row>
    <row r="11" spans="1:12" s="2" customFormat="1" ht="15" x14ac:dyDescent="0.25">
      <c r="A11" s="8">
        <v>6</v>
      </c>
      <c r="B11" s="9" t="s">
        <v>19</v>
      </c>
      <c r="C11" s="10">
        <v>566</v>
      </c>
      <c r="D11" s="11">
        <f t="shared" si="1"/>
        <v>19092885</v>
      </c>
      <c r="E11" s="11">
        <f>(624696-4942)*15</f>
        <v>9296310</v>
      </c>
      <c r="F11" s="11">
        <f>647141*15</f>
        <v>9707115</v>
      </c>
      <c r="G11" s="12">
        <f>5964*15</f>
        <v>89460</v>
      </c>
      <c r="H11" s="11"/>
      <c r="I11" s="11">
        <v>1272859</v>
      </c>
      <c r="J11" s="1"/>
    </row>
    <row r="12" spans="1:12" s="2" customFormat="1" ht="15" x14ac:dyDescent="0.25">
      <c r="A12" s="8">
        <v>7</v>
      </c>
      <c r="B12" s="9" t="s">
        <v>20</v>
      </c>
      <c r="C12" s="10">
        <v>265</v>
      </c>
      <c r="D12" s="11">
        <f t="shared" si="1"/>
        <v>798366</v>
      </c>
      <c r="E12" s="11">
        <v>640254</v>
      </c>
      <c r="F12" s="17">
        <v>20890</v>
      </c>
      <c r="G12" s="18"/>
      <c r="H12" s="11">
        <v>137222</v>
      </c>
      <c r="I12" s="11"/>
      <c r="J12" s="1"/>
    </row>
    <row r="13" spans="1:12" s="2" customFormat="1" ht="15" x14ac:dyDescent="0.25">
      <c r="A13" s="8">
        <v>8</v>
      </c>
      <c r="B13" s="9" t="s">
        <v>21</v>
      </c>
      <c r="C13" s="10">
        <v>375</v>
      </c>
      <c r="D13" s="11">
        <f t="shared" si="1"/>
        <v>1247264</v>
      </c>
      <c r="E13" s="17">
        <v>401895</v>
      </c>
      <c r="F13" s="17">
        <v>0</v>
      </c>
      <c r="G13" s="18">
        <v>0</v>
      </c>
      <c r="H13" s="17">
        <v>845369</v>
      </c>
      <c r="I13" s="17">
        <v>0</v>
      </c>
      <c r="J13" s="19"/>
    </row>
    <row r="14" spans="1:12" s="2" customFormat="1" ht="15" x14ac:dyDescent="0.25">
      <c r="A14" s="8">
        <v>9</v>
      </c>
      <c r="B14" s="9" t="s">
        <v>22</v>
      </c>
      <c r="C14" s="10">
        <v>0</v>
      </c>
      <c r="D14" s="11"/>
      <c r="E14" s="11"/>
      <c r="F14" s="11"/>
      <c r="G14" s="12"/>
      <c r="H14" s="11"/>
      <c r="I14" s="10"/>
      <c r="J14" s="1"/>
    </row>
    <row r="15" spans="1:12" s="2" customFormat="1" ht="15" x14ac:dyDescent="0.25">
      <c r="A15" s="8">
        <v>10</v>
      </c>
      <c r="B15" s="9" t="s">
        <v>23</v>
      </c>
      <c r="C15" s="10">
        <v>38</v>
      </c>
      <c r="D15" s="11">
        <f t="shared" si="1"/>
        <v>120000</v>
      </c>
      <c r="E15" s="11"/>
      <c r="F15" s="10"/>
      <c r="G15" s="20"/>
      <c r="H15" s="11">
        <v>120000</v>
      </c>
      <c r="I15" s="21"/>
      <c r="J15" s="1"/>
    </row>
    <row r="16" spans="1:12" s="2" customFormat="1" ht="15" x14ac:dyDescent="0.25">
      <c r="A16" s="8">
        <v>11</v>
      </c>
      <c r="B16" s="9" t="s">
        <v>24</v>
      </c>
      <c r="C16" s="10">
        <v>451</v>
      </c>
      <c r="D16" s="11">
        <f t="shared" si="1"/>
        <v>4379385</v>
      </c>
      <c r="E16" s="11">
        <f>237223*15</f>
        <v>3558345</v>
      </c>
      <c r="F16" s="11">
        <f>31186*15</f>
        <v>467790</v>
      </c>
      <c r="G16" s="12"/>
      <c r="H16" s="11">
        <f>23550*15</f>
        <v>353250</v>
      </c>
      <c r="I16" s="11">
        <v>491959</v>
      </c>
      <c r="J16" s="1"/>
      <c r="K16" s="22"/>
      <c r="L16" s="22"/>
    </row>
    <row r="17" spans="1:12" s="2" customFormat="1" ht="15" x14ac:dyDescent="0.25">
      <c r="A17" s="8">
        <v>12</v>
      </c>
      <c r="B17" s="9" t="s">
        <v>25</v>
      </c>
      <c r="C17" s="10">
        <v>110</v>
      </c>
      <c r="D17" s="11">
        <f t="shared" si="1"/>
        <v>1017240</v>
      </c>
      <c r="E17" s="11">
        <f>17326*15</f>
        <v>259890</v>
      </c>
      <c r="F17" s="11">
        <f>23291*15</f>
        <v>349365</v>
      </c>
      <c r="G17" s="12"/>
      <c r="H17" s="11">
        <f>27199*15</f>
        <v>407985</v>
      </c>
      <c r="I17" s="11">
        <f>67816</f>
        <v>67816</v>
      </c>
      <c r="J17" s="1"/>
      <c r="L17" s="22"/>
    </row>
    <row r="18" spans="1:12" s="2" customFormat="1" ht="15" x14ac:dyDescent="0.25">
      <c r="A18" s="8">
        <v>13</v>
      </c>
      <c r="B18" s="9" t="s">
        <v>26</v>
      </c>
      <c r="C18" s="10">
        <v>107</v>
      </c>
      <c r="D18" s="11">
        <f t="shared" si="1"/>
        <v>2237400</v>
      </c>
      <c r="E18" s="11">
        <f>58982*15</f>
        <v>884730</v>
      </c>
      <c r="F18" s="11">
        <f>62211*15</f>
        <v>933165</v>
      </c>
      <c r="G18" s="12">
        <v>0</v>
      </c>
      <c r="H18" s="17">
        <f>27967*15</f>
        <v>419505</v>
      </c>
      <c r="I18" s="11">
        <v>149160</v>
      </c>
      <c r="J18" s="23"/>
      <c r="K18" s="22"/>
    </row>
    <row r="19" spans="1:12" s="2" customFormat="1" ht="15" x14ac:dyDescent="0.25">
      <c r="A19" s="8">
        <v>14</v>
      </c>
      <c r="B19" s="9" t="s">
        <v>27</v>
      </c>
      <c r="C19" s="10">
        <v>723</v>
      </c>
      <c r="D19" s="11">
        <f t="shared" si="1"/>
        <v>13458360</v>
      </c>
      <c r="E19" s="11">
        <f>426737*15</f>
        <v>6401055</v>
      </c>
      <c r="F19" s="11">
        <f>403735*15</f>
        <v>6056025</v>
      </c>
      <c r="G19" s="12"/>
      <c r="H19" s="11">
        <f>(66572+180)*15</f>
        <v>1001280</v>
      </c>
      <c r="I19" s="11">
        <v>897224</v>
      </c>
      <c r="J19" s="1"/>
      <c r="K19" s="22"/>
      <c r="L19" s="22"/>
    </row>
    <row r="20" spans="1:12" s="2" customFormat="1" ht="15" x14ac:dyDescent="0.25">
      <c r="A20" s="8">
        <v>15</v>
      </c>
      <c r="B20" s="9" t="s">
        <v>28</v>
      </c>
      <c r="C20" s="10">
        <v>207</v>
      </c>
      <c r="D20" s="11">
        <f t="shared" si="1"/>
        <v>4054485</v>
      </c>
      <c r="E20" s="11">
        <f>29256*15</f>
        <v>438840</v>
      </c>
      <c r="F20" s="11">
        <f>27724*15</f>
        <v>415860</v>
      </c>
      <c r="G20" s="12"/>
      <c r="H20" s="11">
        <f>(106712+106607)*15</f>
        <v>3199785</v>
      </c>
      <c r="I20" s="11">
        <v>270299</v>
      </c>
      <c r="J20" s="23"/>
      <c r="K20" s="22"/>
    </row>
    <row r="21" spans="1:12" s="2" customFormat="1" ht="15" x14ac:dyDescent="0.25">
      <c r="A21" s="8">
        <v>16</v>
      </c>
      <c r="B21" s="9" t="s">
        <v>29</v>
      </c>
      <c r="C21" s="10">
        <v>150</v>
      </c>
      <c r="D21" s="11">
        <f t="shared" si="1"/>
        <v>1511295</v>
      </c>
      <c r="E21" s="11">
        <f>9666*15</f>
        <v>144990</v>
      </c>
      <c r="F21" s="11">
        <f>8986*15</f>
        <v>134790</v>
      </c>
      <c r="G21" s="12"/>
      <c r="H21" s="11">
        <f>82101*15</f>
        <v>1231515</v>
      </c>
      <c r="I21" s="11">
        <v>100753</v>
      </c>
      <c r="J21" s="1"/>
    </row>
    <row r="22" spans="1:12" s="2" customFormat="1" ht="15" x14ac:dyDescent="0.25">
      <c r="A22" s="4"/>
      <c r="B22" s="5" t="s">
        <v>30</v>
      </c>
      <c r="C22" s="6">
        <f>SUM(C23:C44)</f>
        <v>7795</v>
      </c>
      <c r="D22" s="6">
        <f>SUM(D23:D45)</f>
        <v>51622150</v>
      </c>
      <c r="E22" s="6">
        <f>SUM(E23:E45)</f>
        <v>7172706</v>
      </c>
      <c r="F22" s="6">
        <f>SUM(F23:F45)</f>
        <v>16070048</v>
      </c>
      <c r="G22" s="7">
        <f>SUM(G23:G45)</f>
        <v>1581372</v>
      </c>
      <c r="H22" s="6">
        <f>SUM(H23:H45)</f>
        <v>26798024</v>
      </c>
      <c r="I22" s="6">
        <f t="shared" ref="I22" si="3">SUM(I23:I44)</f>
        <v>862072</v>
      </c>
      <c r="J22" s="1"/>
    </row>
    <row r="23" spans="1:12" s="2" customFormat="1" ht="15" x14ac:dyDescent="0.25">
      <c r="A23" s="8">
        <v>1</v>
      </c>
      <c r="B23" s="9" t="s">
        <v>31</v>
      </c>
      <c r="C23" s="10"/>
      <c r="D23" s="11">
        <f>SUM(E23:H23)</f>
        <v>0</v>
      </c>
      <c r="E23" s="10"/>
      <c r="F23" s="10"/>
      <c r="G23" s="20"/>
      <c r="H23" s="10"/>
      <c r="I23" s="10"/>
      <c r="J23" s="24"/>
    </row>
    <row r="24" spans="1:12" s="2" customFormat="1" ht="15" x14ac:dyDescent="0.25">
      <c r="A24" s="8">
        <v>2</v>
      </c>
      <c r="B24" s="9" t="s">
        <v>32</v>
      </c>
      <c r="C24" s="10">
        <v>1029</v>
      </c>
      <c r="D24" s="11">
        <v>3988319</v>
      </c>
      <c r="E24" s="11">
        <v>793386</v>
      </c>
      <c r="F24" s="11">
        <v>394741</v>
      </c>
      <c r="G24" s="12">
        <v>1581372</v>
      </c>
      <c r="H24" s="11">
        <f>D24-(E24+F24+1581372)</f>
        <v>1218820</v>
      </c>
      <c r="I24" s="11">
        <v>33823</v>
      </c>
      <c r="J24" s="1"/>
    </row>
    <row r="25" spans="1:12" s="2" customFormat="1" ht="15" x14ac:dyDescent="0.25">
      <c r="A25" s="8">
        <v>3</v>
      </c>
      <c r="B25" s="9" t="s">
        <v>33</v>
      </c>
      <c r="C25" s="10">
        <v>290</v>
      </c>
      <c r="D25" s="11">
        <f>SUM(E25:H25)</f>
        <v>1477090</v>
      </c>
      <c r="E25" s="11"/>
      <c r="F25" s="11">
        <v>452398</v>
      </c>
      <c r="G25" s="12"/>
      <c r="H25" s="11">
        <v>1024692</v>
      </c>
      <c r="I25" s="11">
        <v>0</v>
      </c>
      <c r="J25" s="1"/>
    </row>
    <row r="26" spans="1:12" s="2" customFormat="1" ht="15" x14ac:dyDescent="0.25">
      <c r="A26" s="8">
        <v>4</v>
      </c>
      <c r="B26" s="9" t="s">
        <v>34</v>
      </c>
      <c r="C26" s="10">
        <v>357</v>
      </c>
      <c r="D26" s="11">
        <f t="shared" ref="D26:D44" si="4">SUM(E26:H26)</f>
        <v>4175000</v>
      </c>
      <c r="E26" s="11">
        <v>1256000</v>
      </c>
      <c r="F26" s="11">
        <v>2829000</v>
      </c>
      <c r="G26" s="12"/>
      <c r="H26" s="11">
        <v>90000</v>
      </c>
      <c r="I26" s="10">
        <v>2047</v>
      </c>
      <c r="J26" s="1"/>
    </row>
    <row r="27" spans="1:12" s="2" customFormat="1" ht="15" x14ac:dyDescent="0.25">
      <c r="A27" s="8">
        <v>5</v>
      </c>
      <c r="B27" s="9" t="s">
        <v>35</v>
      </c>
      <c r="C27" s="10">
        <v>56</v>
      </c>
      <c r="D27" s="11">
        <f t="shared" si="4"/>
        <v>92016</v>
      </c>
      <c r="E27" s="10"/>
      <c r="F27" s="10"/>
      <c r="G27" s="20"/>
      <c r="H27" s="11">
        <v>92016</v>
      </c>
      <c r="I27" s="10"/>
      <c r="J27" s="1"/>
    </row>
    <row r="28" spans="1:12" s="2" customFormat="1" ht="15" x14ac:dyDescent="0.25">
      <c r="A28" s="8">
        <v>6</v>
      </c>
      <c r="B28" s="9" t="s">
        <v>36</v>
      </c>
      <c r="C28" s="10">
        <v>325</v>
      </c>
      <c r="D28" s="11">
        <f t="shared" si="4"/>
        <v>447168</v>
      </c>
      <c r="E28" s="10"/>
      <c r="F28" s="17">
        <v>445768</v>
      </c>
      <c r="G28" s="18"/>
      <c r="H28" s="11">
        <v>1400</v>
      </c>
      <c r="I28" s="10"/>
      <c r="J28" s="1"/>
    </row>
    <row r="29" spans="1:12" s="2" customFormat="1" ht="15" x14ac:dyDescent="0.25">
      <c r="A29" s="8">
        <v>7</v>
      </c>
      <c r="B29" s="9" t="s">
        <v>37</v>
      </c>
      <c r="C29" s="10">
        <v>203</v>
      </c>
      <c r="D29" s="11">
        <f t="shared" si="4"/>
        <v>343000</v>
      </c>
      <c r="E29" s="17"/>
      <c r="F29" s="17"/>
      <c r="G29" s="18"/>
      <c r="H29" s="17">
        <v>343000</v>
      </c>
      <c r="I29" s="17"/>
      <c r="J29" s="1"/>
    </row>
    <row r="30" spans="1:12" s="2" customFormat="1" ht="15" x14ac:dyDescent="0.25">
      <c r="A30" s="8">
        <v>8</v>
      </c>
      <c r="B30" s="9" t="s">
        <v>38</v>
      </c>
      <c r="C30" s="10">
        <v>614</v>
      </c>
      <c r="D30" s="11">
        <f t="shared" si="4"/>
        <v>3956537</v>
      </c>
      <c r="E30" s="11">
        <v>124284</v>
      </c>
      <c r="F30" s="11">
        <v>1561362</v>
      </c>
      <c r="G30" s="12"/>
      <c r="H30" s="11">
        <v>2270891</v>
      </c>
      <c r="I30" s="20">
        <v>0</v>
      </c>
      <c r="J30" s="1"/>
    </row>
    <row r="31" spans="1:12" s="2" customFormat="1" ht="15" x14ac:dyDescent="0.25">
      <c r="A31" s="8">
        <v>9</v>
      </c>
      <c r="B31" s="9" t="s">
        <v>39</v>
      </c>
      <c r="C31" s="11">
        <v>1727</v>
      </c>
      <c r="D31" s="11">
        <f t="shared" si="4"/>
        <v>10128810</v>
      </c>
      <c r="E31" s="11">
        <f>254245*15</f>
        <v>3813675</v>
      </c>
      <c r="F31" s="11">
        <f>270548*15</f>
        <v>4058220</v>
      </c>
      <c r="G31" s="12"/>
      <c r="H31" s="11">
        <f>150461*15</f>
        <v>2256915</v>
      </c>
      <c r="I31" s="11">
        <v>675257</v>
      </c>
      <c r="J31" s="1"/>
    </row>
    <row r="32" spans="1:12" s="2" customFormat="1" ht="15" x14ac:dyDescent="0.25">
      <c r="A32" s="8">
        <v>10</v>
      </c>
      <c r="B32" s="9" t="s">
        <v>40</v>
      </c>
      <c r="C32" s="10">
        <v>176</v>
      </c>
      <c r="D32" s="11">
        <f t="shared" si="4"/>
        <v>215000</v>
      </c>
      <c r="E32" s="10"/>
      <c r="F32" s="10"/>
      <c r="G32" s="20"/>
      <c r="H32" s="11">
        <v>215000</v>
      </c>
      <c r="I32" s="10"/>
      <c r="J32" s="1"/>
    </row>
    <row r="33" spans="1:10" s="2" customFormat="1" ht="15" x14ac:dyDescent="0.25">
      <c r="A33" s="8">
        <v>11</v>
      </c>
      <c r="B33" s="9" t="s">
        <v>41</v>
      </c>
      <c r="C33" s="10">
        <v>193</v>
      </c>
      <c r="D33" s="11">
        <f t="shared" si="4"/>
        <v>351913</v>
      </c>
      <c r="E33" s="10"/>
      <c r="F33" s="10"/>
      <c r="G33" s="20"/>
      <c r="H33" s="11">
        <v>351913</v>
      </c>
      <c r="I33" s="10"/>
      <c r="J33" s="1"/>
    </row>
    <row r="34" spans="1:10" s="2" customFormat="1" ht="15" x14ac:dyDescent="0.25">
      <c r="A34" s="8">
        <v>12</v>
      </c>
      <c r="B34" s="9" t="s">
        <v>42</v>
      </c>
      <c r="C34" s="10">
        <v>100</v>
      </c>
      <c r="D34" s="11">
        <f t="shared" si="4"/>
        <v>842131</v>
      </c>
      <c r="E34" s="11">
        <v>10121</v>
      </c>
      <c r="F34" s="11">
        <v>653049</v>
      </c>
      <c r="G34" s="12"/>
      <c r="H34" s="11">
        <v>178961</v>
      </c>
      <c r="I34" s="10">
        <v>0</v>
      </c>
      <c r="J34" s="1"/>
    </row>
    <row r="35" spans="1:10" s="2" customFormat="1" ht="15" x14ac:dyDescent="0.25">
      <c r="A35" s="8">
        <v>13</v>
      </c>
      <c r="B35" s="9" t="s">
        <v>43</v>
      </c>
      <c r="C35" s="10">
        <v>51</v>
      </c>
      <c r="D35" s="11">
        <f t="shared" si="4"/>
        <v>1500000</v>
      </c>
      <c r="E35" s="11">
        <v>10000</v>
      </c>
      <c r="F35" s="11">
        <v>1490000</v>
      </c>
      <c r="G35" s="12"/>
      <c r="H35" s="11"/>
      <c r="I35" s="10"/>
      <c r="J35" s="1"/>
    </row>
    <row r="36" spans="1:10" s="2" customFormat="1" ht="15" x14ac:dyDescent="0.25">
      <c r="A36" s="8">
        <v>14</v>
      </c>
      <c r="B36" s="9" t="s">
        <v>44</v>
      </c>
      <c r="C36" s="10">
        <v>35</v>
      </c>
      <c r="D36" s="11">
        <f t="shared" si="4"/>
        <v>409929</v>
      </c>
      <c r="E36" s="11">
        <v>9735</v>
      </c>
      <c r="F36" s="11">
        <v>397926</v>
      </c>
      <c r="G36" s="12"/>
      <c r="H36" s="17">
        <v>2268</v>
      </c>
      <c r="I36" s="17"/>
      <c r="J36" s="1"/>
    </row>
    <row r="37" spans="1:10" s="2" customFormat="1" ht="15" x14ac:dyDescent="0.25">
      <c r="A37" s="8">
        <v>15</v>
      </c>
      <c r="B37" s="9" t="s">
        <v>45</v>
      </c>
      <c r="C37" s="11">
        <v>987</v>
      </c>
      <c r="D37" s="11">
        <f t="shared" si="4"/>
        <v>16640466</v>
      </c>
      <c r="E37" s="11">
        <f>49929*15</f>
        <v>748935</v>
      </c>
      <c r="F37" s="11">
        <f>72190*15</f>
        <v>1082850</v>
      </c>
      <c r="G37" s="12"/>
      <c r="H37" s="11">
        <f>7404340+529264+6875077</f>
        <v>14808681</v>
      </c>
      <c r="I37" s="11">
        <v>150945</v>
      </c>
      <c r="J37" s="1"/>
    </row>
    <row r="38" spans="1:10" s="2" customFormat="1" ht="15" x14ac:dyDescent="0.25">
      <c r="A38" s="8">
        <v>16</v>
      </c>
      <c r="B38" s="9" t="s">
        <v>46</v>
      </c>
      <c r="C38" s="10">
        <v>536</v>
      </c>
      <c r="D38" s="11">
        <f t="shared" si="4"/>
        <v>1855010</v>
      </c>
      <c r="E38" s="11">
        <v>68989</v>
      </c>
      <c r="F38" s="11"/>
      <c r="G38" s="12"/>
      <c r="H38" s="11">
        <v>1786021</v>
      </c>
      <c r="I38" s="10">
        <v>0</v>
      </c>
      <c r="J38" s="1"/>
    </row>
    <row r="39" spans="1:10" s="2" customFormat="1" ht="15" x14ac:dyDescent="0.25">
      <c r="A39" s="8">
        <v>17</v>
      </c>
      <c r="B39" s="9" t="s">
        <v>47</v>
      </c>
      <c r="C39" s="10">
        <v>93</v>
      </c>
      <c r="D39" s="11">
        <f t="shared" si="4"/>
        <v>157912</v>
      </c>
      <c r="E39" s="10"/>
      <c r="F39" s="10"/>
      <c r="G39" s="20"/>
      <c r="H39" s="11">
        <v>157912</v>
      </c>
      <c r="I39" s="10"/>
      <c r="J39" s="1"/>
    </row>
    <row r="40" spans="1:10" s="2" customFormat="1" ht="15" x14ac:dyDescent="0.25">
      <c r="A40" s="8">
        <v>18</v>
      </c>
      <c r="B40" s="9" t="s">
        <v>48</v>
      </c>
      <c r="C40" s="10">
        <v>24</v>
      </c>
      <c r="D40" s="11">
        <f t="shared" si="4"/>
        <v>0</v>
      </c>
      <c r="E40" s="10"/>
      <c r="F40" s="10"/>
      <c r="G40" s="20"/>
      <c r="H40" s="11"/>
      <c r="I40" s="10"/>
      <c r="J40" s="1"/>
    </row>
    <row r="41" spans="1:10" s="2" customFormat="1" ht="15" x14ac:dyDescent="0.25">
      <c r="A41" s="8">
        <v>19</v>
      </c>
      <c r="B41" s="9" t="s">
        <v>49</v>
      </c>
      <c r="C41" s="10">
        <v>158</v>
      </c>
      <c r="D41" s="11">
        <f t="shared" si="4"/>
        <v>275240</v>
      </c>
      <c r="E41" s="17"/>
      <c r="F41" s="17"/>
      <c r="G41" s="20"/>
      <c r="H41" s="11">
        <v>275240</v>
      </c>
      <c r="I41" s="10"/>
      <c r="J41" s="25"/>
    </row>
    <row r="42" spans="1:10" s="2" customFormat="1" ht="15" x14ac:dyDescent="0.25">
      <c r="A42" s="8">
        <v>20</v>
      </c>
      <c r="B42" s="9" t="s">
        <v>50</v>
      </c>
      <c r="C42" s="10">
        <v>321</v>
      </c>
      <c r="D42" s="11">
        <f t="shared" si="4"/>
        <v>2224623</v>
      </c>
      <c r="E42" s="11">
        <v>23188</v>
      </c>
      <c r="F42" s="11">
        <v>1599582</v>
      </c>
      <c r="G42" s="12"/>
      <c r="H42" s="11">
        <v>601853</v>
      </c>
      <c r="I42" s="10"/>
      <c r="J42" s="1"/>
    </row>
    <row r="43" spans="1:10" s="2" customFormat="1" ht="15" x14ac:dyDescent="0.25">
      <c r="A43" s="8">
        <v>21</v>
      </c>
      <c r="B43" s="9" t="s">
        <v>51</v>
      </c>
      <c r="C43" s="10">
        <v>127</v>
      </c>
      <c r="D43" s="11">
        <f t="shared" si="4"/>
        <v>1265854</v>
      </c>
      <c r="E43" s="17">
        <v>102168</v>
      </c>
      <c r="F43" s="17">
        <v>1023727</v>
      </c>
      <c r="G43" s="18"/>
      <c r="H43" s="17">
        <v>139959</v>
      </c>
      <c r="I43" s="10"/>
      <c r="J43" s="1"/>
    </row>
    <row r="44" spans="1:10" s="2" customFormat="1" ht="15" x14ac:dyDescent="0.25">
      <c r="A44" s="8">
        <v>22</v>
      </c>
      <c r="B44" s="9" t="s">
        <v>52</v>
      </c>
      <c r="C44" s="10">
        <v>393</v>
      </c>
      <c r="D44" s="11">
        <f t="shared" si="4"/>
        <v>1276132</v>
      </c>
      <c r="E44" s="11">
        <v>212225</v>
      </c>
      <c r="F44" s="11">
        <v>81425</v>
      </c>
      <c r="G44" s="12"/>
      <c r="H44" s="11">
        <v>982482</v>
      </c>
      <c r="I44" s="10"/>
      <c r="J44" s="1"/>
    </row>
    <row r="45" spans="1:10" s="2" customFormat="1" ht="15" x14ac:dyDescent="0.25">
      <c r="A45" s="8">
        <v>23</v>
      </c>
      <c r="B45" s="9" t="s">
        <v>53</v>
      </c>
      <c r="C45" s="10">
        <v>444</v>
      </c>
      <c r="D45" s="11">
        <v>0</v>
      </c>
      <c r="E45" s="11"/>
      <c r="F45" s="11"/>
      <c r="G45" s="12"/>
      <c r="H45" s="11"/>
      <c r="I45" s="10">
        <v>0</v>
      </c>
      <c r="J45" s="24"/>
    </row>
    <row r="46" spans="1:10" s="2" customFormat="1" ht="15" x14ac:dyDescent="0.25">
      <c r="A46" s="4"/>
      <c r="B46" s="5" t="s">
        <v>54</v>
      </c>
      <c r="C46" s="6">
        <f t="shared" ref="C46:I46" si="5">C47+C66+C84</f>
        <v>16946.875097784403</v>
      </c>
      <c r="D46" s="6">
        <f t="shared" si="5"/>
        <v>228034555.28571436</v>
      </c>
      <c r="E46" s="6">
        <f t="shared" si="5"/>
        <v>92790105.600001633</v>
      </c>
      <c r="F46" s="6">
        <f t="shared" si="5"/>
        <v>88710630.117016479</v>
      </c>
      <c r="G46" s="7">
        <f t="shared" si="5"/>
        <v>9174257.2599826492</v>
      </c>
      <c r="H46" s="6">
        <f t="shared" si="5"/>
        <v>36991396.308713578</v>
      </c>
      <c r="I46" s="6">
        <f t="shared" si="5"/>
        <v>13850691.883742109</v>
      </c>
      <c r="J46" s="1"/>
    </row>
    <row r="47" spans="1:10" s="2" customFormat="1" ht="15" x14ac:dyDescent="0.25">
      <c r="A47" s="26"/>
      <c r="B47" s="27" t="s">
        <v>55</v>
      </c>
      <c r="C47" s="28">
        <f>SUM(C48:C64)</f>
        <v>9933</v>
      </c>
      <c r="D47" s="28">
        <f t="shared" ref="D47:I47" si="6">SUM(D48:D64)</f>
        <v>133278079</v>
      </c>
      <c r="E47" s="28">
        <f>SUM(E48:E64)</f>
        <v>56217262</v>
      </c>
      <c r="F47" s="28">
        <f t="shared" si="6"/>
        <v>47346422</v>
      </c>
      <c r="G47" s="29">
        <f t="shared" si="6"/>
        <v>293520</v>
      </c>
      <c r="H47" s="28">
        <f t="shared" si="6"/>
        <v>29052709</v>
      </c>
      <c r="I47" s="28">
        <f t="shared" si="6"/>
        <v>8314046</v>
      </c>
      <c r="J47" s="1"/>
    </row>
    <row r="48" spans="1:10" s="2" customFormat="1" ht="15" x14ac:dyDescent="0.25">
      <c r="A48" s="8">
        <v>1</v>
      </c>
      <c r="B48" s="9" t="s">
        <v>56</v>
      </c>
      <c r="C48" s="11">
        <v>1221</v>
      </c>
      <c r="D48" s="11">
        <f>SUM(E48:H48)</f>
        <v>12120645</v>
      </c>
      <c r="E48" s="11">
        <f>111790*15</f>
        <v>1676850</v>
      </c>
      <c r="F48" s="11">
        <f>458425*15</f>
        <v>6876375</v>
      </c>
      <c r="G48" s="12"/>
      <c r="H48" s="11">
        <v>3567420</v>
      </c>
      <c r="I48" s="11">
        <v>570215</v>
      </c>
      <c r="J48" s="1"/>
    </row>
    <row r="49" spans="1:12" s="2" customFormat="1" ht="15" x14ac:dyDescent="0.25">
      <c r="A49" s="8">
        <v>2</v>
      </c>
      <c r="B49" s="9" t="s">
        <v>57</v>
      </c>
      <c r="C49" s="10">
        <v>1015</v>
      </c>
      <c r="D49" s="11">
        <f>8023755+353166</f>
        <v>8376921</v>
      </c>
      <c r="E49" s="11">
        <f>205921*15</f>
        <v>3088815</v>
      </c>
      <c r="F49" s="11">
        <f>262608*15</f>
        <v>3939120</v>
      </c>
      <c r="G49" s="12">
        <f>19226*15</f>
        <v>288390</v>
      </c>
      <c r="H49" s="11">
        <f>46162*15</f>
        <v>692430</v>
      </c>
      <c r="I49" s="11">
        <v>534917</v>
      </c>
      <c r="J49" s="1"/>
      <c r="K49" s="30"/>
      <c r="L49" s="22"/>
    </row>
    <row r="50" spans="1:12" s="2" customFormat="1" ht="15" x14ac:dyDescent="0.25">
      <c r="A50" s="8">
        <v>3</v>
      </c>
      <c r="B50" s="9" t="s">
        <v>58</v>
      </c>
      <c r="C50" s="10">
        <v>260</v>
      </c>
      <c r="D50" s="11">
        <f t="shared" ref="D50:D95" si="7">SUM(E50:H50)</f>
        <v>242000</v>
      </c>
      <c r="E50" s="11">
        <v>114000</v>
      </c>
      <c r="F50" s="11">
        <v>272</v>
      </c>
      <c r="G50" s="12"/>
      <c r="H50" s="11">
        <v>127728</v>
      </c>
      <c r="I50" s="10"/>
      <c r="J50" s="1"/>
      <c r="K50" s="31"/>
    </row>
    <row r="51" spans="1:12" s="2" customFormat="1" ht="28.7" customHeight="1" x14ac:dyDescent="0.25">
      <c r="A51" s="8">
        <v>4</v>
      </c>
      <c r="B51" s="32" t="s">
        <v>59</v>
      </c>
      <c r="C51" s="10">
        <v>35</v>
      </c>
      <c r="D51" s="11">
        <f t="shared" si="7"/>
        <v>102000</v>
      </c>
      <c r="E51" s="11">
        <v>42000</v>
      </c>
      <c r="F51" s="11"/>
      <c r="G51" s="12"/>
      <c r="H51" s="11">
        <v>60000</v>
      </c>
      <c r="I51" s="11"/>
      <c r="J51" s="33"/>
      <c r="K51" s="22"/>
    </row>
    <row r="52" spans="1:12" s="2" customFormat="1" ht="15" x14ac:dyDescent="0.25">
      <c r="A52" s="8">
        <v>5</v>
      </c>
      <c r="B52" s="9" t="s">
        <v>60</v>
      </c>
      <c r="C52" s="11">
        <v>0</v>
      </c>
      <c r="D52" s="11">
        <f t="shared" si="7"/>
        <v>8383875</v>
      </c>
      <c r="E52" s="10"/>
      <c r="F52" s="10"/>
      <c r="G52" s="20"/>
      <c r="H52" s="11">
        <f>558925*15</f>
        <v>8383875</v>
      </c>
      <c r="I52" s="11">
        <v>558925</v>
      </c>
      <c r="J52" s="1"/>
    </row>
    <row r="53" spans="1:12" s="2" customFormat="1" ht="15" x14ac:dyDescent="0.25">
      <c r="A53" s="8">
        <v>6</v>
      </c>
      <c r="B53" s="9" t="s">
        <v>61</v>
      </c>
      <c r="C53" s="11">
        <v>4198</v>
      </c>
      <c r="D53" s="11">
        <f t="shared" si="7"/>
        <v>79981920</v>
      </c>
      <c r="E53" s="11">
        <f>2981981*15</f>
        <v>44729715</v>
      </c>
      <c r="F53" s="11">
        <f>2350147*15</f>
        <v>35252205</v>
      </c>
      <c r="G53" s="12"/>
      <c r="H53" s="10"/>
      <c r="I53" s="11">
        <v>5332128</v>
      </c>
      <c r="J53" s="1"/>
    </row>
    <row r="54" spans="1:12" s="2" customFormat="1" ht="15" x14ac:dyDescent="0.25">
      <c r="A54" s="8">
        <v>7</v>
      </c>
      <c r="B54" s="9" t="s">
        <v>62</v>
      </c>
      <c r="C54" s="11">
        <v>1125</v>
      </c>
      <c r="D54" s="11">
        <f t="shared" si="7"/>
        <v>3461565</v>
      </c>
      <c r="E54" s="11"/>
      <c r="F54" s="11"/>
      <c r="G54" s="12"/>
      <c r="H54" s="11">
        <f>230771*15</f>
        <v>3461565</v>
      </c>
      <c r="I54" s="11">
        <v>230771</v>
      </c>
      <c r="J54" s="1"/>
      <c r="K54" s="22"/>
    </row>
    <row r="55" spans="1:12" s="2" customFormat="1" ht="15" x14ac:dyDescent="0.25">
      <c r="A55" s="8">
        <v>8</v>
      </c>
      <c r="B55" s="9" t="s">
        <v>63</v>
      </c>
      <c r="C55" s="10">
        <v>90</v>
      </c>
      <c r="D55" s="11">
        <f t="shared" si="7"/>
        <v>111236</v>
      </c>
      <c r="E55" s="11">
        <v>0</v>
      </c>
      <c r="F55" s="10"/>
      <c r="G55" s="20"/>
      <c r="H55" s="11">
        <v>111236</v>
      </c>
      <c r="I55" s="10"/>
      <c r="J55" s="1"/>
    </row>
    <row r="56" spans="1:12" s="2" customFormat="1" ht="15" x14ac:dyDescent="0.25">
      <c r="A56" s="8">
        <v>9</v>
      </c>
      <c r="B56" s="9" t="s">
        <v>64</v>
      </c>
      <c r="C56" s="10">
        <v>579</v>
      </c>
      <c r="D56" s="11">
        <f t="shared" si="7"/>
        <v>5475285</v>
      </c>
      <c r="E56" s="11"/>
      <c r="F56" s="11"/>
      <c r="G56" s="12"/>
      <c r="H56" s="11">
        <f>365019*15</f>
        <v>5475285</v>
      </c>
      <c r="I56" s="11">
        <v>365019</v>
      </c>
      <c r="J56" s="1"/>
      <c r="K56" s="22"/>
    </row>
    <row r="57" spans="1:12" s="2" customFormat="1" ht="15" x14ac:dyDescent="0.25">
      <c r="A57" s="8">
        <v>10</v>
      </c>
      <c r="B57" s="9" t="s">
        <v>65</v>
      </c>
      <c r="C57" s="10">
        <v>606</v>
      </c>
      <c r="D57" s="11">
        <f t="shared" si="7"/>
        <v>8244645</v>
      </c>
      <c r="E57" s="61">
        <f>(44833+84971)*15</f>
        <v>1947060</v>
      </c>
      <c r="F57" s="62"/>
      <c r="G57" s="34"/>
      <c r="H57" s="11">
        <f>419839*15</f>
        <v>6297585</v>
      </c>
      <c r="I57" s="11">
        <v>549643</v>
      </c>
      <c r="J57" s="1"/>
      <c r="K57" s="22"/>
    </row>
    <row r="58" spans="1:12" s="2" customFormat="1" ht="15" x14ac:dyDescent="0.25">
      <c r="A58" s="8">
        <v>11</v>
      </c>
      <c r="B58" s="9" t="s">
        <v>66</v>
      </c>
      <c r="C58" s="10"/>
      <c r="D58" s="11">
        <f t="shared" si="7"/>
        <v>0</v>
      </c>
      <c r="E58" s="11"/>
      <c r="F58" s="11"/>
      <c r="G58" s="12"/>
      <c r="H58" s="11"/>
      <c r="I58" s="10"/>
      <c r="J58" s="1"/>
    </row>
    <row r="59" spans="1:12" s="2" customFormat="1" ht="15" x14ac:dyDescent="0.25">
      <c r="A59" s="8">
        <v>12</v>
      </c>
      <c r="B59" s="9" t="s">
        <v>67</v>
      </c>
      <c r="C59" s="10">
        <v>45</v>
      </c>
      <c r="D59" s="11">
        <f>SUM(E59:H59)</f>
        <v>448695</v>
      </c>
      <c r="E59" s="11">
        <f>872*15</f>
        <v>13080</v>
      </c>
      <c r="F59" s="11">
        <f>1505*15</f>
        <v>22575</v>
      </c>
      <c r="G59" s="12">
        <f>264*15</f>
        <v>3960</v>
      </c>
      <c r="H59" s="11">
        <f>27272*15</f>
        <v>409080</v>
      </c>
      <c r="I59" s="11">
        <f>29913</f>
        <v>29913</v>
      </c>
      <c r="J59" s="1"/>
    </row>
    <row r="60" spans="1:12" s="2" customFormat="1" ht="15" x14ac:dyDescent="0.25">
      <c r="A60" s="8">
        <v>13</v>
      </c>
      <c r="B60" s="9" t="s">
        <v>68</v>
      </c>
      <c r="C60" s="10">
        <v>45</v>
      </c>
      <c r="D60" s="11">
        <f>SUM(E60:H60)</f>
        <v>180570</v>
      </c>
      <c r="E60" s="11">
        <f>3831*15</f>
        <v>57465</v>
      </c>
      <c r="F60" s="11">
        <f>8207*15</f>
        <v>123105</v>
      </c>
      <c r="G60" s="12"/>
      <c r="H60" s="11"/>
      <c r="I60" s="11">
        <v>12038</v>
      </c>
      <c r="J60" s="1"/>
    </row>
    <row r="61" spans="1:12" s="2" customFormat="1" ht="15" x14ac:dyDescent="0.25">
      <c r="A61" s="8">
        <v>14</v>
      </c>
      <c r="B61" s="9" t="s">
        <v>69</v>
      </c>
      <c r="C61" s="10">
        <v>355</v>
      </c>
      <c r="D61" s="11">
        <f t="shared" ref="D61:D62" si="8">SUM(E61:H61)</f>
        <v>4000000</v>
      </c>
      <c r="E61" s="11">
        <v>4000000</v>
      </c>
      <c r="F61" s="10"/>
      <c r="G61" s="20"/>
      <c r="H61" s="10"/>
      <c r="I61" s="10"/>
      <c r="J61" s="1"/>
    </row>
    <row r="62" spans="1:12" s="2" customFormat="1" ht="15" x14ac:dyDescent="0.25">
      <c r="A62" s="8">
        <v>15</v>
      </c>
      <c r="B62" s="9" t="s">
        <v>70</v>
      </c>
      <c r="C62" s="10">
        <v>67</v>
      </c>
      <c r="D62" s="11">
        <f t="shared" si="8"/>
        <v>60677</v>
      </c>
      <c r="E62" s="11">
        <v>60677</v>
      </c>
      <c r="F62" s="10"/>
      <c r="G62" s="20"/>
      <c r="H62" s="10"/>
      <c r="I62" s="17"/>
      <c r="J62" s="1"/>
    </row>
    <row r="63" spans="1:12" s="2" customFormat="1" ht="15" x14ac:dyDescent="0.25">
      <c r="A63" s="8">
        <v>16</v>
      </c>
      <c r="B63" s="9" t="s">
        <v>71</v>
      </c>
      <c r="C63" s="10">
        <v>60</v>
      </c>
      <c r="D63" s="11">
        <f t="shared" si="7"/>
        <v>130890</v>
      </c>
      <c r="E63" s="10">
        <v>104710</v>
      </c>
      <c r="F63" s="10"/>
      <c r="G63" s="20"/>
      <c r="H63" s="10">
        <v>26180</v>
      </c>
      <c r="I63" s="10"/>
      <c r="J63" s="1"/>
    </row>
    <row r="64" spans="1:12" s="2" customFormat="1" ht="15" x14ac:dyDescent="0.25">
      <c r="A64" s="8">
        <v>17</v>
      </c>
      <c r="B64" s="9" t="s">
        <v>72</v>
      </c>
      <c r="C64" s="10">
        <v>232</v>
      </c>
      <c r="D64" s="11">
        <f>1957155</f>
        <v>1957155</v>
      </c>
      <c r="E64" s="11">
        <f>25526*15</f>
        <v>382890</v>
      </c>
      <c r="F64" s="11">
        <f>75518*15</f>
        <v>1132770</v>
      </c>
      <c r="G64" s="12">
        <f>78*15</f>
        <v>1170</v>
      </c>
      <c r="H64" s="11">
        <f>(14805+13847+703)*15</f>
        <v>440325</v>
      </c>
      <c r="I64" s="11">
        <v>130477</v>
      </c>
      <c r="J64" s="1"/>
    </row>
    <row r="65" spans="1:13" s="2" customFormat="1" ht="15" x14ac:dyDescent="0.25">
      <c r="A65" s="8">
        <v>18</v>
      </c>
      <c r="B65" s="9" t="s">
        <v>73</v>
      </c>
      <c r="C65" s="10">
        <v>195</v>
      </c>
      <c r="D65" s="11">
        <f t="shared" si="7"/>
        <v>922467</v>
      </c>
      <c r="E65" s="11">
        <v>668146</v>
      </c>
      <c r="F65" s="11">
        <v>196045</v>
      </c>
      <c r="G65" s="12"/>
      <c r="H65" s="11">
        <v>58276</v>
      </c>
      <c r="I65" s="11"/>
      <c r="J65" s="1"/>
    </row>
    <row r="66" spans="1:13" s="2" customFormat="1" ht="15" x14ac:dyDescent="0.25">
      <c r="A66" s="26"/>
      <c r="B66" s="27" t="s">
        <v>74</v>
      </c>
      <c r="C66" s="28">
        <f t="shared" ref="C66:I66" si="9">SUM(C67:C83)</f>
        <v>5819.8750977844011</v>
      </c>
      <c r="D66" s="28">
        <f t="shared" si="9"/>
        <v>89620940.285714358</v>
      </c>
      <c r="E66" s="28">
        <f t="shared" si="9"/>
        <v>36266859.600001641</v>
      </c>
      <c r="F66" s="28">
        <f t="shared" si="9"/>
        <v>40834568.117016479</v>
      </c>
      <c r="G66" s="29">
        <f t="shared" si="9"/>
        <v>8880737.2599826492</v>
      </c>
      <c r="H66" s="28">
        <f t="shared" si="9"/>
        <v>3638775.3087135791</v>
      </c>
      <c r="I66" s="28">
        <f t="shared" si="9"/>
        <v>5482841.8837421099</v>
      </c>
      <c r="J66" s="1"/>
    </row>
    <row r="67" spans="1:13" s="2" customFormat="1" ht="15" x14ac:dyDescent="0.25">
      <c r="A67" s="8">
        <v>1</v>
      </c>
      <c r="B67" s="9" t="s">
        <v>75</v>
      </c>
      <c r="C67" s="10">
        <v>594</v>
      </c>
      <c r="D67" s="11">
        <f t="shared" si="7"/>
        <v>3941438</v>
      </c>
      <c r="E67" s="17"/>
      <c r="F67" s="17">
        <v>3346452</v>
      </c>
      <c r="G67" s="18"/>
      <c r="H67" s="17">
        <v>594986</v>
      </c>
      <c r="I67" s="35"/>
      <c r="J67" s="1"/>
      <c r="K67" s="36"/>
    </row>
    <row r="68" spans="1:13" s="2" customFormat="1" ht="15" x14ac:dyDescent="0.25">
      <c r="A68" s="8">
        <v>2</v>
      </c>
      <c r="B68" s="9" t="s">
        <v>76</v>
      </c>
      <c r="C68" s="10">
        <v>577</v>
      </c>
      <c r="D68" s="11">
        <f t="shared" si="7"/>
        <v>629148</v>
      </c>
      <c r="E68" s="11">
        <v>629148</v>
      </c>
      <c r="F68" s="10"/>
      <c r="G68" s="20"/>
      <c r="H68" s="11"/>
      <c r="I68" s="10"/>
      <c r="J68" s="1"/>
    </row>
    <row r="69" spans="1:13" s="2" customFormat="1" ht="15" x14ac:dyDescent="0.25">
      <c r="A69" s="8">
        <v>3</v>
      </c>
      <c r="B69" s="9" t="s">
        <v>77</v>
      </c>
      <c r="C69" s="10">
        <v>151</v>
      </c>
      <c r="D69" s="11">
        <f t="shared" si="7"/>
        <v>4346000</v>
      </c>
      <c r="E69" s="11">
        <v>3728000</v>
      </c>
      <c r="F69" s="11">
        <v>550000</v>
      </c>
      <c r="G69" s="12"/>
      <c r="H69" s="11">
        <v>68000</v>
      </c>
      <c r="I69" s="11"/>
      <c r="J69" s="1"/>
      <c r="K69" s="36"/>
      <c r="L69" s="36"/>
    </row>
    <row r="70" spans="1:13" s="2" customFormat="1" ht="15" x14ac:dyDescent="0.25">
      <c r="A70" s="8">
        <v>4</v>
      </c>
      <c r="B70" s="9" t="s">
        <v>78</v>
      </c>
      <c r="C70" s="10">
        <v>854</v>
      </c>
      <c r="D70" s="11">
        <f>SUM(E70:H70)</f>
        <v>28274130</v>
      </c>
      <c r="E70" s="11">
        <f>760745*15</f>
        <v>11411175</v>
      </c>
      <c r="F70" s="11">
        <f>870300*15</f>
        <v>13054500</v>
      </c>
      <c r="G70" s="37">
        <f>97179*15</f>
        <v>1457685</v>
      </c>
      <c r="H70" s="11">
        <f>(96098+60620)*15</f>
        <v>2350770</v>
      </c>
      <c r="I70" s="11">
        <v>1885942</v>
      </c>
      <c r="J70" s="1"/>
      <c r="K70" s="22"/>
    </row>
    <row r="71" spans="1:13" s="2" customFormat="1" ht="15" x14ac:dyDescent="0.25">
      <c r="A71" s="8">
        <v>5</v>
      </c>
      <c r="B71" s="9" t="s">
        <v>79</v>
      </c>
      <c r="C71" s="10">
        <v>174</v>
      </c>
      <c r="D71" s="11">
        <f t="shared" si="7"/>
        <v>6664095</v>
      </c>
      <c r="E71" s="11">
        <f>18329*15</f>
        <v>274935</v>
      </c>
      <c r="F71" s="11">
        <f>347412*15</f>
        <v>5211180</v>
      </c>
      <c r="G71" s="12">
        <f>78532*15</f>
        <v>1177980</v>
      </c>
      <c r="H71" s="11"/>
      <c r="I71" s="11">
        <v>644273</v>
      </c>
      <c r="J71" s="1"/>
      <c r="K71" s="22"/>
    </row>
    <row r="72" spans="1:13" s="2" customFormat="1" ht="15" x14ac:dyDescent="0.25">
      <c r="A72" s="8">
        <v>6</v>
      </c>
      <c r="B72" s="9" t="s">
        <v>80</v>
      </c>
      <c r="C72" s="10">
        <v>854</v>
      </c>
      <c r="D72" s="11">
        <f t="shared" si="7"/>
        <v>12314070</v>
      </c>
      <c r="E72" s="11">
        <f>351441*15</f>
        <v>5271615</v>
      </c>
      <c r="F72" s="11">
        <f>395795*15</f>
        <v>5936925</v>
      </c>
      <c r="G72" s="12">
        <f>73702*15</f>
        <v>1105530</v>
      </c>
      <c r="H72" s="11"/>
      <c r="I72" s="11">
        <v>820938</v>
      </c>
      <c r="J72" s="1"/>
      <c r="M72" s="22"/>
    </row>
    <row r="73" spans="1:13" s="2" customFormat="1" ht="15" x14ac:dyDescent="0.25">
      <c r="A73" s="8">
        <v>7</v>
      </c>
      <c r="B73" s="9" t="s">
        <v>81</v>
      </c>
      <c r="C73" s="10">
        <v>383</v>
      </c>
      <c r="D73" s="11">
        <v>7448055</v>
      </c>
      <c r="E73" s="11">
        <f>218372*15</f>
        <v>3275580</v>
      </c>
      <c r="F73" s="11">
        <f>197078*15</f>
        <v>2956170</v>
      </c>
      <c r="G73" s="12">
        <f>80073*15</f>
        <v>1201095</v>
      </c>
      <c r="H73" s="11">
        <f>1014*15</f>
        <v>15210</v>
      </c>
      <c r="I73" s="17">
        <v>496537</v>
      </c>
      <c r="J73" s="1"/>
      <c r="K73" s="36"/>
      <c r="L73" s="22"/>
      <c r="M73" s="22"/>
    </row>
    <row r="74" spans="1:13" s="2" customFormat="1" ht="15" x14ac:dyDescent="0.25">
      <c r="A74" s="8">
        <v>8</v>
      </c>
      <c r="B74" s="9" t="s">
        <v>82</v>
      </c>
      <c r="C74" s="64">
        <f>C73/D73*D74</f>
        <v>1255.8750977844009</v>
      </c>
      <c r="D74" s="11">
        <v>24422524.285714351</v>
      </c>
      <c r="E74" s="17">
        <f>E73/D73*D74</f>
        <v>10740781.600001639</v>
      </c>
      <c r="F74" s="17">
        <f t="shared" ref="F74:H74" si="10">F73/E73*E74</f>
        <v>9693421.1170164812</v>
      </c>
      <c r="G74" s="18">
        <f t="shared" si="10"/>
        <v>3938447.2599826502</v>
      </c>
      <c r="H74" s="17">
        <f t="shared" si="10"/>
        <v>49874.308713578946</v>
      </c>
      <c r="I74" s="17">
        <v>1634951.8837421101</v>
      </c>
      <c r="J74" s="1"/>
      <c r="K74" s="36"/>
      <c r="L74" s="22"/>
      <c r="M74" s="22"/>
    </row>
    <row r="75" spans="1:13" s="2" customFormat="1" ht="15" x14ac:dyDescent="0.25">
      <c r="A75" s="8">
        <v>9</v>
      </c>
      <c r="B75" s="9" t="s">
        <v>83</v>
      </c>
      <c r="C75" s="10">
        <v>20</v>
      </c>
      <c r="D75" s="11">
        <f t="shared" si="7"/>
        <v>806000</v>
      </c>
      <c r="E75" s="11">
        <v>806000</v>
      </c>
      <c r="F75" s="11"/>
      <c r="G75" s="12"/>
      <c r="H75" s="10"/>
      <c r="I75" s="10"/>
      <c r="J75" s="1"/>
    </row>
    <row r="76" spans="1:13" s="2" customFormat="1" ht="15" x14ac:dyDescent="0.25">
      <c r="A76" s="8">
        <v>10</v>
      </c>
      <c r="B76" s="9" t="s">
        <v>84</v>
      </c>
      <c r="C76" s="11">
        <v>475</v>
      </c>
      <c r="D76" s="11">
        <f t="shared" si="7"/>
        <v>298417</v>
      </c>
      <c r="E76" s="10"/>
      <c r="F76" s="10"/>
      <c r="G76" s="20"/>
      <c r="H76" s="11">
        <v>298417</v>
      </c>
      <c r="I76" s="10"/>
      <c r="J76" s="1"/>
    </row>
    <row r="77" spans="1:13" s="2" customFormat="1" ht="15" x14ac:dyDescent="0.25">
      <c r="A77" s="8">
        <v>11</v>
      </c>
      <c r="B77" s="9" t="s">
        <v>85</v>
      </c>
      <c r="C77" s="10">
        <v>385</v>
      </c>
      <c r="D77" s="11">
        <f t="shared" si="7"/>
        <v>242192</v>
      </c>
      <c r="E77" s="10"/>
      <c r="F77" s="11"/>
      <c r="G77" s="12"/>
      <c r="H77" s="11">
        <v>242192</v>
      </c>
      <c r="I77" s="10"/>
      <c r="J77" s="1"/>
    </row>
    <row r="78" spans="1:13" s="2" customFormat="1" ht="15" x14ac:dyDescent="0.25">
      <c r="A78" s="8">
        <v>12</v>
      </c>
      <c r="B78" s="9" t="s">
        <v>86</v>
      </c>
      <c r="C78" s="10"/>
      <c r="D78" s="11">
        <f t="shared" si="7"/>
        <v>0</v>
      </c>
      <c r="E78" s="10"/>
      <c r="F78" s="10"/>
      <c r="G78" s="20"/>
      <c r="H78" s="17"/>
      <c r="I78" s="10"/>
      <c r="J78" s="1"/>
    </row>
    <row r="79" spans="1:13" s="2" customFormat="1" ht="15" x14ac:dyDescent="0.25">
      <c r="A79" s="8">
        <v>13</v>
      </c>
      <c r="B79" s="9" t="s">
        <v>87</v>
      </c>
      <c r="C79" s="10"/>
      <c r="D79" s="11">
        <f t="shared" si="7"/>
        <v>0</v>
      </c>
      <c r="E79" s="10"/>
      <c r="F79" s="10"/>
      <c r="G79" s="20"/>
      <c r="H79" s="11"/>
      <c r="I79" s="10"/>
      <c r="J79" s="1"/>
    </row>
    <row r="80" spans="1:13" s="2" customFormat="1" ht="15" x14ac:dyDescent="0.25">
      <c r="A80" s="8">
        <v>14</v>
      </c>
      <c r="B80" s="9" t="s">
        <v>88</v>
      </c>
      <c r="C80" s="10">
        <v>77</v>
      </c>
      <c r="D80" s="11">
        <f t="shared" si="7"/>
        <v>15981</v>
      </c>
      <c r="E80" s="11">
        <v>6764</v>
      </c>
      <c r="F80" s="11">
        <v>5920</v>
      </c>
      <c r="G80" s="12"/>
      <c r="H80" s="17">
        <v>3297</v>
      </c>
      <c r="I80" s="10"/>
      <c r="J80" s="1"/>
      <c r="K80" s="36"/>
    </row>
    <row r="81" spans="1:11" s="2" customFormat="1" ht="15" x14ac:dyDescent="0.25">
      <c r="A81" s="8">
        <v>15</v>
      </c>
      <c r="B81" s="9" t="s">
        <v>89</v>
      </c>
      <c r="C81" s="10">
        <v>17</v>
      </c>
      <c r="D81" s="11">
        <f t="shared" si="7"/>
        <v>135890</v>
      </c>
      <c r="E81" s="11">
        <v>122861</v>
      </c>
      <c r="F81" s="10"/>
      <c r="G81" s="20"/>
      <c r="H81" s="11">
        <v>13029</v>
      </c>
      <c r="I81" s="10"/>
      <c r="J81" s="1"/>
    </row>
    <row r="82" spans="1:11" s="2" customFormat="1" ht="15" x14ac:dyDescent="0.25">
      <c r="A82" s="8">
        <v>16</v>
      </c>
      <c r="B82" s="9" t="s">
        <v>90</v>
      </c>
      <c r="C82" s="10">
        <v>3</v>
      </c>
      <c r="D82" s="11">
        <f t="shared" si="7"/>
        <v>80000</v>
      </c>
      <c r="E82" s="10"/>
      <c r="F82" s="11">
        <v>80000</v>
      </c>
      <c r="G82" s="12"/>
      <c r="H82" s="10"/>
      <c r="I82" s="10"/>
      <c r="J82" s="1"/>
    </row>
    <row r="83" spans="1:11" s="2" customFormat="1" ht="15" x14ac:dyDescent="0.25">
      <c r="A83" s="8">
        <v>17</v>
      </c>
      <c r="B83" s="9" t="s">
        <v>91</v>
      </c>
      <c r="C83" s="10">
        <v>0</v>
      </c>
      <c r="D83" s="11">
        <f t="shared" si="7"/>
        <v>3000</v>
      </c>
      <c r="E83" s="10"/>
      <c r="F83" s="11"/>
      <c r="G83" s="12"/>
      <c r="H83" s="10">
        <f>200*15</f>
        <v>3000</v>
      </c>
      <c r="I83" s="10">
        <v>200</v>
      </c>
      <c r="J83" s="1"/>
    </row>
    <row r="84" spans="1:11" s="2" customFormat="1" x14ac:dyDescent="0.25">
      <c r="A84" s="38"/>
      <c r="B84" s="39" t="s">
        <v>92</v>
      </c>
      <c r="C84" s="40">
        <f t="shared" ref="C84:I84" si="11">SUM(C85:C95)</f>
        <v>1194</v>
      </c>
      <c r="D84" s="40">
        <f t="shared" si="11"/>
        <v>5135536</v>
      </c>
      <c r="E84" s="40">
        <f t="shared" si="11"/>
        <v>305984</v>
      </c>
      <c r="F84" s="40">
        <f t="shared" si="11"/>
        <v>529640</v>
      </c>
      <c r="G84" s="41">
        <f t="shared" si="11"/>
        <v>0</v>
      </c>
      <c r="H84" s="40">
        <f t="shared" si="11"/>
        <v>4299912</v>
      </c>
      <c r="I84" s="40">
        <f t="shared" si="11"/>
        <v>53804</v>
      </c>
      <c r="J84" s="42"/>
    </row>
    <row r="85" spans="1:11" s="2" customFormat="1" x14ac:dyDescent="0.25">
      <c r="A85" s="43">
        <v>1</v>
      </c>
      <c r="B85" s="44" t="s">
        <v>93</v>
      </c>
      <c r="C85" s="45">
        <v>50</v>
      </c>
      <c r="D85" s="46">
        <f t="shared" si="7"/>
        <v>234066</v>
      </c>
      <c r="E85" s="46">
        <v>32527</v>
      </c>
      <c r="F85" s="45"/>
      <c r="G85" s="47"/>
      <c r="H85" s="46">
        <v>201539</v>
      </c>
      <c r="I85" s="46">
        <v>0</v>
      </c>
      <c r="J85" s="42"/>
    </row>
    <row r="86" spans="1:11" s="2" customFormat="1" x14ac:dyDescent="0.25">
      <c r="A86" s="43">
        <v>2</v>
      </c>
      <c r="B86" s="44" t="s">
        <v>94</v>
      </c>
      <c r="C86" s="45"/>
      <c r="D86" s="46">
        <f t="shared" si="7"/>
        <v>19597</v>
      </c>
      <c r="E86" s="45"/>
      <c r="F86" s="45"/>
      <c r="G86" s="47"/>
      <c r="H86" s="46">
        <v>19597</v>
      </c>
      <c r="I86" s="46"/>
      <c r="J86" s="42"/>
    </row>
    <row r="87" spans="1:11" s="2" customFormat="1" x14ac:dyDescent="0.25">
      <c r="A87" s="43">
        <v>3</v>
      </c>
      <c r="B87" s="44" t="s">
        <v>95</v>
      </c>
      <c r="C87" s="45">
        <v>0</v>
      </c>
      <c r="D87" s="46">
        <f t="shared" si="7"/>
        <v>90688</v>
      </c>
      <c r="E87" s="45"/>
      <c r="F87" s="45"/>
      <c r="G87" s="47"/>
      <c r="H87" s="46">
        <v>90688</v>
      </c>
      <c r="I87" s="45"/>
      <c r="J87" s="42"/>
    </row>
    <row r="88" spans="1:11" s="2" customFormat="1" x14ac:dyDescent="0.25">
      <c r="A88" s="43">
        <v>4</v>
      </c>
      <c r="B88" s="44" t="s">
        <v>96</v>
      </c>
      <c r="C88" s="45">
        <v>0</v>
      </c>
      <c r="D88" s="46">
        <f t="shared" si="7"/>
        <v>0</v>
      </c>
      <c r="E88" s="45"/>
      <c r="F88" s="45"/>
      <c r="G88" s="47"/>
      <c r="H88" s="46">
        <v>0</v>
      </c>
      <c r="I88" s="45"/>
      <c r="J88" s="42"/>
    </row>
    <row r="89" spans="1:11" s="2" customFormat="1" x14ac:dyDescent="0.25">
      <c r="A89" s="43">
        <v>5</v>
      </c>
      <c r="B89" s="44" t="s">
        <v>97</v>
      </c>
      <c r="C89" s="45">
        <v>245</v>
      </c>
      <c r="D89" s="46">
        <f>SUM(E89:H89)</f>
        <v>200187</v>
      </c>
      <c r="E89" s="45"/>
      <c r="F89" s="45"/>
      <c r="G89" s="47"/>
      <c r="H89" s="46">
        <f>200187</f>
        <v>200187</v>
      </c>
      <c r="I89" s="46">
        <v>1940</v>
      </c>
      <c r="J89" s="42"/>
    </row>
    <row r="90" spans="1:11" s="2" customFormat="1" x14ac:dyDescent="0.25">
      <c r="A90" s="43">
        <v>6</v>
      </c>
      <c r="B90" s="44" t="s">
        <v>98</v>
      </c>
      <c r="C90" s="45">
        <v>428</v>
      </c>
      <c r="D90" s="46">
        <f t="shared" si="7"/>
        <v>1466303</v>
      </c>
      <c r="E90" s="46">
        <v>134513</v>
      </c>
      <c r="F90" s="46">
        <v>65461</v>
      </c>
      <c r="G90" s="48"/>
      <c r="H90" s="46">
        <f>1178129+5880*15</f>
        <v>1266329</v>
      </c>
      <c r="I90" s="46">
        <v>5880</v>
      </c>
      <c r="J90" s="42"/>
    </row>
    <row r="91" spans="1:11" s="2" customFormat="1" x14ac:dyDescent="0.25">
      <c r="A91" s="43">
        <v>7</v>
      </c>
      <c r="B91" s="44" t="s">
        <v>99</v>
      </c>
      <c r="C91" s="45">
        <v>34</v>
      </c>
      <c r="D91" s="46">
        <f t="shared" si="7"/>
        <v>610501</v>
      </c>
      <c r="E91" s="45"/>
      <c r="F91" s="46"/>
      <c r="G91" s="48"/>
      <c r="H91" s="46">
        <v>610501</v>
      </c>
      <c r="I91" s="46">
        <v>15082</v>
      </c>
      <c r="J91" s="42"/>
      <c r="K91" s="31"/>
    </row>
    <row r="92" spans="1:11" s="2" customFormat="1" x14ac:dyDescent="0.25">
      <c r="A92" s="43">
        <v>8</v>
      </c>
      <c r="B92" s="44" t="s">
        <v>100</v>
      </c>
      <c r="C92" s="45"/>
      <c r="D92" s="46">
        <f t="shared" si="7"/>
        <v>37967</v>
      </c>
      <c r="E92" s="45"/>
      <c r="F92" s="45"/>
      <c r="G92" s="47"/>
      <c r="H92" s="46">
        <v>37967</v>
      </c>
      <c r="I92" s="49">
        <v>0</v>
      </c>
      <c r="J92" s="42"/>
    </row>
    <row r="93" spans="1:11" s="2" customFormat="1" x14ac:dyDescent="0.25">
      <c r="A93" s="43">
        <v>9</v>
      </c>
      <c r="B93" s="44" t="s">
        <v>101</v>
      </c>
      <c r="C93" s="45">
        <v>178</v>
      </c>
      <c r="D93" s="46">
        <f t="shared" si="7"/>
        <v>1351072</v>
      </c>
      <c r="E93" s="46">
        <v>65305</v>
      </c>
      <c r="F93" s="46">
        <v>375020</v>
      </c>
      <c r="G93" s="48"/>
      <c r="H93" s="46">
        <v>910747</v>
      </c>
      <c r="I93" s="46">
        <v>24765</v>
      </c>
      <c r="J93" s="42"/>
    </row>
    <row r="94" spans="1:11" s="2" customFormat="1" x14ac:dyDescent="0.25">
      <c r="A94" s="43">
        <v>10</v>
      </c>
      <c r="B94" s="44" t="s">
        <v>102</v>
      </c>
      <c r="C94" s="45">
        <v>259</v>
      </c>
      <c r="D94" s="46">
        <f t="shared" si="7"/>
        <v>1111555</v>
      </c>
      <c r="E94" s="46">
        <v>73639</v>
      </c>
      <c r="F94" s="46">
        <v>89159</v>
      </c>
      <c r="G94" s="48"/>
      <c r="H94" s="49">
        <v>948757</v>
      </c>
      <c r="I94" s="49">
        <v>6137</v>
      </c>
      <c r="J94" s="42"/>
    </row>
    <row r="95" spans="1:11" s="2" customFormat="1" x14ac:dyDescent="0.25">
      <c r="A95" s="43">
        <v>11</v>
      </c>
      <c r="B95" s="44" t="s">
        <v>103</v>
      </c>
      <c r="C95" s="45"/>
      <c r="D95" s="46">
        <f t="shared" si="7"/>
        <v>13600</v>
      </c>
      <c r="E95" s="45"/>
      <c r="F95" s="45"/>
      <c r="G95" s="47"/>
      <c r="H95" s="46">
        <v>13600</v>
      </c>
      <c r="I95" s="45"/>
      <c r="J95" s="42"/>
    </row>
    <row r="96" spans="1:11" s="2" customFormat="1" ht="24.6" customHeight="1" x14ac:dyDescent="0.25">
      <c r="A96" s="50">
        <v>86</v>
      </c>
      <c r="B96" s="51" t="s">
        <v>104</v>
      </c>
      <c r="C96" s="52">
        <f>C5+C22+C46</f>
        <v>32583.875097784403</v>
      </c>
      <c r="D96" s="52">
        <f t="shared" ref="D96:E96" si="12">D5+D22+D46</f>
        <v>366966764.28571439</v>
      </c>
      <c r="E96" s="52">
        <f t="shared" si="12"/>
        <v>136806474.60000163</v>
      </c>
      <c r="F96" s="52">
        <f>F5+F22+F46</f>
        <v>133968227.11701648</v>
      </c>
      <c r="G96" s="53">
        <f>G5+G22+G46</f>
        <v>10845089.259982649</v>
      </c>
      <c r="H96" s="52">
        <f>H5+H22+H46</f>
        <v>84978807.308713585</v>
      </c>
      <c r="I96" s="52">
        <f>I5+I22+I46</f>
        <v>19230071.883742109</v>
      </c>
      <c r="J96" s="54"/>
    </row>
    <row r="97" spans="1:10" s="2" customFormat="1" x14ac:dyDescent="0.25">
      <c r="A97" s="55"/>
      <c r="B97" s="55"/>
      <c r="C97" s="55"/>
      <c r="D97" s="55"/>
      <c r="E97" s="55"/>
      <c r="F97" s="55"/>
      <c r="G97" s="55"/>
      <c r="H97" s="63"/>
      <c r="I97" s="63"/>
      <c r="J97" s="42"/>
    </row>
    <row r="98" spans="1:10" s="2" customFormat="1" ht="15" x14ac:dyDescent="0.25">
      <c r="J98" s="1"/>
    </row>
    <row r="99" spans="1:10" s="2" customFormat="1" ht="15" x14ac:dyDescent="0.25">
      <c r="H99" s="56"/>
      <c r="I99" s="56"/>
      <c r="J99" s="1"/>
    </row>
  </sheetData>
  <mergeCells count="7">
    <mergeCell ref="H99:I99"/>
    <mergeCell ref="A1:I1"/>
    <mergeCell ref="A3:A4"/>
    <mergeCell ref="B3:B4"/>
    <mergeCell ref="D3:H3"/>
    <mergeCell ref="E57:F57"/>
    <mergeCell ref="H97:I97"/>
  </mergeCells>
  <pageMargins left="0.25" right="0.25" top="0.75" bottom="0.75" header="0.3" footer="0.3"/>
  <pageSetup paperSize="9" scale="80" orientation="portrait" r:id="rId1"/>
  <ignoredErrors>
    <ignoredError sqref="D13 C22 D25:D38 C47 E22:I22" formulaRange="1"/>
    <ignoredError sqref="D64:D66 D84 D86:D90 D49" formula="1"/>
    <ignoredError sqref="D91:D94 D85 D22" formula="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64962-1ACF-4592-873E-12579B21D2EE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48D72-8035-445C-BE27-830CB571049A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A0CAC-4EDA-4020-8CD6-9D18465DD376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 Kim Lan Ho Kim</dc:creator>
  <cp:lastModifiedBy>Tang Le Hoang</cp:lastModifiedBy>
  <cp:lastPrinted>2024-06-12T01:33:36Z</cp:lastPrinted>
  <dcterms:created xsi:type="dcterms:W3CDTF">2024-05-23T02:40:02Z</dcterms:created>
  <dcterms:modified xsi:type="dcterms:W3CDTF">2024-06-12T02:29:33Z</dcterms:modified>
</cp:coreProperties>
</file>